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480" yWindow="270" windowWidth="13740" windowHeight="7110" activeTab="0"/>
  </bookViews>
  <sheets>
    <sheet name="Région  LR (%patients)" sheetId="1" r:id="rId1"/>
    <sheet name="Région  LR (nbre patients)" sheetId="2" r:id="rId2"/>
    <sheet name="Graphique par classes" sheetId="3" r:id="rId3"/>
    <sheet name="Région  LR Inf cutanées (%)" sheetId="4" r:id="rId4"/>
    <sheet name="tableau entrée 1" sheetId="5" r:id="rId5"/>
    <sheet name="tableau entrée 1 (copie)" sheetId="6" r:id="rId6"/>
    <sheet name="Tableau sortie" sheetId="7" r:id="rId7"/>
    <sheet name="Chiffres Inf respi" sheetId="8" r:id="rId8"/>
    <sheet name="Chiffres Inf Cutanées" sheetId="9" r:id="rId9"/>
    <sheet name="Feuil4" sheetId="10" r:id="rId10"/>
    <sheet name="Feuil3" sheetId="11" r:id="rId11"/>
  </sheets>
  <definedNames/>
  <calcPr fullCalcOnLoad="1"/>
</workbook>
</file>

<file path=xl/sharedStrings.xml><?xml version="1.0" encoding="utf-8"?>
<sst xmlns="http://schemas.openxmlformats.org/spreadsheetml/2006/main" count="541" uniqueCount="116">
  <si>
    <t>Médicament / Nom de Marque</t>
  </si>
  <si>
    <t>CPAM Région Languedoc Roussillon</t>
  </si>
  <si>
    <t>oct-4</t>
  </si>
  <si>
    <t>nov-4</t>
  </si>
  <si>
    <t>déc-4</t>
  </si>
  <si>
    <t>janv-5</t>
  </si>
  <si>
    <t>fév-5</t>
  </si>
  <si>
    <t>mars-5</t>
  </si>
  <si>
    <t>avr-5</t>
  </si>
  <si>
    <t>mai-5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</si>
  <si>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</si>
  <si>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</si>
  <si>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</si>
  <si>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</si>
  <si>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</si>
  <si>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</si>
  <si>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</si>
  <si>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</si>
  <si>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fév-6</t>
  </si>
  <si>
    <t>mars-6</t>
  </si>
  <si>
    <t>avr-6</t>
  </si>
  <si>
    <t>mai-6</t>
  </si>
  <si>
    <t>juin-6</t>
  </si>
  <si>
    <t>juil-6</t>
  </si>
  <si>
    <t>août-6</t>
  </si>
  <si>
    <t>sept-6</t>
  </si>
  <si>
    <t>CLAMOXYL + Gé</t>
  </si>
  <si>
    <t>AUGMENTIN + Gé</t>
  </si>
  <si>
    <t>BRISTOPEN</t>
  </si>
  <si>
    <t>ORBENINE</t>
  </si>
  <si>
    <t>ORACEFAL + Gé</t>
  </si>
  <si>
    <t>CEFAPEROS + Gé</t>
  </si>
  <si>
    <t>ALFATIL + Gé</t>
  </si>
  <si>
    <t>ZINNAT + Gé</t>
  </si>
  <si>
    <t>OROKEN</t>
  </si>
  <si>
    <t>ORELOX</t>
  </si>
  <si>
    <t>TEXODIL / TAKETIAM</t>
  </si>
  <si>
    <t>ROCEPHINE + Gé</t>
  </si>
  <si>
    <t>RULID / CLARAMID + Gé</t>
  </si>
  <si>
    <t>JOSACINE + Gé</t>
  </si>
  <si>
    <t>NAXY / ZECLAR / MONONAXY / MONOZECLAR</t>
  </si>
  <si>
    <t>ZITHROMAX</t>
  </si>
  <si>
    <t>KETEK</t>
  </si>
  <si>
    <t>OFLOCET + Gé</t>
  </si>
  <si>
    <t>TAVANIC</t>
  </si>
  <si>
    <t>IZILOX</t>
  </si>
  <si>
    <t>PYOSTACINE</t>
  </si>
  <si>
    <t>FUCIDINE</t>
  </si>
  <si>
    <t>Ordre</t>
  </si>
  <si>
    <t>Antibiotiques</t>
  </si>
  <si>
    <t>CPAM</t>
  </si>
  <si>
    <t>oct-04</t>
  </si>
  <si>
    <t>nov-04</t>
  </si>
  <si>
    <t>déc-04</t>
  </si>
  <si>
    <t>jan-05</t>
  </si>
  <si>
    <t>fév-05</t>
  </si>
  <si>
    <t>mar-05</t>
  </si>
  <si>
    <t>avr-05</t>
  </si>
  <si>
    <t>mai-05</t>
  </si>
  <si>
    <t>jun-05</t>
  </si>
  <si>
    <t>jui-05</t>
  </si>
  <si>
    <t>aoû-05</t>
  </si>
  <si>
    <t>sep-05</t>
  </si>
  <si>
    <t>oct-05</t>
  </si>
  <si>
    <t>Total Panier - 22 ATB</t>
  </si>
  <si>
    <t>ATB de 1ère intention</t>
  </si>
  <si>
    <t>ATB de 2ème intention</t>
  </si>
  <si>
    <t>%</t>
  </si>
  <si>
    <t>Nombres de patients</t>
  </si>
  <si>
    <t>Total sélection des 19 Antibiotiques</t>
  </si>
  <si>
    <t>C1G</t>
  </si>
  <si>
    <t>C2-C3G</t>
  </si>
  <si>
    <t>Bêta-lactamines</t>
  </si>
  <si>
    <t>Macrolides et apparentés</t>
  </si>
  <si>
    <t>Fluoroquinolones</t>
  </si>
  <si>
    <t>ATB 1ère intention</t>
  </si>
  <si>
    <t>ATB 2ème intention</t>
  </si>
  <si>
    <t>TOTAL</t>
  </si>
  <si>
    <t>(%)</t>
  </si>
  <si>
    <t>Coller ici le résultat de la requête "Req"</t>
  </si>
  <si>
    <t>10/04</t>
  </si>
  <si>
    <t>11/04</t>
  </si>
  <si>
    <t>12/04</t>
  </si>
  <si>
    <t>01/05</t>
  </si>
  <si>
    <t>02/05</t>
  </si>
  <si>
    <t>03/05</t>
  </si>
  <si>
    <t>04/05</t>
  </si>
  <si>
    <t>05/05</t>
  </si>
  <si>
    <t>06/05</t>
  </si>
  <si>
    <t>07/05</t>
  </si>
  <si>
    <t>08/05</t>
  </si>
  <si>
    <t>09/05</t>
  </si>
  <si>
    <t>10/05</t>
  </si>
  <si>
    <t>11/05</t>
  </si>
  <si>
    <t>12/05</t>
  </si>
  <si>
    <t>01/06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</si>
  <si>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</si>
  <si>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</si>
  <si>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</si>
  <si>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</si>
  <si>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</si>
  <si>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</si>
  <si>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</si>
  <si>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</si>
  <si>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</si>
  <si>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</si>
  <si>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12/06</t>
  </si>
  <si>
    <t>01/07</t>
  </si>
  <si>
    <t>02/07</t>
  </si>
  <si>
    <t>03/07</t>
  </si>
  <si>
    <t>04/07</t>
  </si>
  <si>
    <t>Montpellier</t>
  </si>
  <si>
    <t xml:space="preserve">  LR</t>
  </si>
  <si>
    <t>Région  LR</t>
  </si>
  <si>
    <t>05/07</t>
  </si>
  <si>
    <t>06/07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</si>
</sst>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\ ##,000&quot; €&quot;;\-#\ ##,000&quot; €&quot;"/>
    <numFmt numFmtId="171" formatCode="#,##0\ &quot;€&quot;"/>
    <numFmt numFmtId="172" formatCode="[$-40C]dddd\ d\ mmmm\ yyyy"/>
    <numFmt numFmtId="173" formatCode="0.0"/>
  </numFmts>
  <fonts count="1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2.25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0"/>
    </font>
    <font>
      <b/>
      <sz val="19.75"/>
      <name val="Arial"/>
      <family val="2"/>
    </font>
    <font>
      <sz val="11"/>
      <name val="Arial"/>
      <family val="0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 wrapText="1"/>
      <protection/>
    </xf>
    <xf numFmtId="0" fontId="1" fillId="3" borderId="1" xfId="22" applyFont="1" applyFill="1" applyBorder="1" applyAlignment="1">
      <alignment horizontal="center"/>
      <protection/>
    </xf>
    <xf numFmtId="0" fontId="1" fillId="3" borderId="1" xfId="22" applyFont="1" applyFill="1" applyBorder="1" applyAlignment="1">
      <alignment horizontal="center" wrapText="1"/>
      <protection/>
    </xf>
    <xf numFmtId="17" fontId="1" fillId="3" borderId="1" xfId="22" applyNumberFormat="1" applyFont="1" applyFill="1" applyBorder="1" applyAlignment="1">
      <alignment horizontal="center"/>
      <protection/>
    </xf>
    <xf numFmtId="0" fontId="1" fillId="4" borderId="2" xfId="22" applyFont="1" applyFill="1" applyBorder="1" applyAlignment="1">
      <alignment horizontal="right" wrapText="1"/>
      <protection/>
    </xf>
    <xf numFmtId="0" fontId="1" fillId="4" borderId="2" xfId="22" applyFont="1" applyFill="1" applyBorder="1" applyAlignment="1">
      <alignment wrapText="1"/>
      <protection/>
    </xf>
    <xf numFmtId="0" fontId="1" fillId="0" borderId="2" xfId="23" applyFont="1" applyFill="1" applyBorder="1" applyAlignment="1">
      <alignment wrapText="1"/>
      <protection/>
    </xf>
    <xf numFmtId="0" fontId="1" fillId="0" borderId="2" xfId="22" applyFont="1" applyFill="1" applyBorder="1" applyAlignment="1">
      <alignment wrapText="1"/>
      <protection/>
    </xf>
    <xf numFmtId="4" fontId="1" fillId="0" borderId="2" xfId="22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  <xf numFmtId="0" fontId="2" fillId="5" borderId="1" xfId="21" applyFont="1" applyFill="1" applyBorder="1" applyAlignment="1">
      <alignment horizontal="center"/>
      <protection/>
    </xf>
    <xf numFmtId="0" fontId="1" fillId="3" borderId="3" xfId="19" applyFont="1" applyFill="1" applyBorder="1" applyAlignment="1">
      <alignment horizontal="center"/>
      <protection/>
    </xf>
    <xf numFmtId="17" fontId="1" fillId="3" borderId="3" xfId="19" applyNumberFormat="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5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2" fillId="5" borderId="3" xfId="21" applyFont="1" applyFill="1" applyBorder="1" applyAlignment="1">
      <alignment horizontal="center"/>
      <protection/>
    </xf>
    <xf numFmtId="0" fontId="1" fillId="6" borderId="3" xfId="25" applyFont="1" applyFill="1" applyBorder="1" applyAlignment="1">
      <alignment wrapText="1"/>
      <protection/>
    </xf>
    <xf numFmtId="3" fontId="0" fillId="7" borderId="3" xfId="0" applyNumberFormat="1" applyFill="1" applyBorder="1" applyAlignment="1">
      <alignment/>
    </xf>
    <xf numFmtId="0" fontId="1" fillId="6" borderId="4" xfId="25" applyFont="1" applyFill="1" applyBorder="1" applyAlignment="1">
      <alignment wrapText="1"/>
      <protection/>
    </xf>
    <xf numFmtId="3" fontId="0" fillId="7" borderId="4" xfId="0" applyNumberFormat="1" applyFill="1" applyBorder="1" applyAlignment="1">
      <alignment/>
    </xf>
    <xf numFmtId="0" fontId="3" fillId="6" borderId="5" xfId="25" applyFont="1" applyFill="1" applyBorder="1" applyAlignment="1">
      <alignment wrapText="1"/>
      <protection/>
    </xf>
    <xf numFmtId="3" fontId="0" fillId="7" borderId="5" xfId="0" applyNumberFormat="1" applyFill="1" applyBorder="1" applyAlignment="1">
      <alignment/>
    </xf>
    <xf numFmtId="3" fontId="4" fillId="7" borderId="5" xfId="0" applyNumberFormat="1" applyFont="1" applyFill="1" applyBorder="1" applyAlignment="1">
      <alignment/>
    </xf>
    <xf numFmtId="0" fontId="3" fillId="6" borderId="3" xfId="25" applyFont="1" applyFill="1" applyBorder="1" applyAlignment="1">
      <alignment wrapText="1"/>
      <protection/>
    </xf>
    <xf numFmtId="3" fontId="4" fillId="7" borderId="3" xfId="0" applyNumberFormat="1" applyFont="1" applyFill="1" applyBorder="1" applyAlignment="1">
      <alignment/>
    </xf>
    <xf numFmtId="164" fontId="0" fillId="7" borderId="3" xfId="0" applyNumberFormat="1" applyFill="1" applyBorder="1" applyAlignment="1">
      <alignment/>
    </xf>
    <xf numFmtId="164" fontId="0" fillId="7" borderId="4" xfId="0" applyNumberFormat="1" applyFill="1" applyBorder="1" applyAlignment="1">
      <alignment/>
    </xf>
    <xf numFmtId="164" fontId="0" fillId="7" borderId="5" xfId="0" applyNumberFormat="1" applyFill="1" applyBorder="1" applyAlignment="1">
      <alignment/>
    </xf>
    <xf numFmtId="0" fontId="5" fillId="0" borderId="0" xfId="0" applyFont="1" applyAlignment="1">
      <alignment/>
    </xf>
    <xf numFmtId="0" fontId="1" fillId="0" borderId="0" xfId="21" applyFont="1" applyFill="1" applyBorder="1" applyAlignment="1">
      <alignment wrapText="1"/>
      <protection/>
    </xf>
    <xf numFmtId="0" fontId="2" fillId="3" borderId="3" xfId="19" applyFont="1" applyFill="1" applyBorder="1" applyAlignment="1">
      <alignment horizontal="center"/>
      <protection/>
    </xf>
    <xf numFmtId="0" fontId="1" fillId="4" borderId="3" xfId="19" applyFont="1" applyFill="1" applyBorder="1" applyAlignment="1">
      <alignment wrapText="1"/>
      <protection/>
    </xf>
    <xf numFmtId="3" fontId="1" fillId="4" borderId="3" xfId="19" applyNumberFormat="1" applyFont="1" applyFill="1" applyBorder="1" applyAlignment="1">
      <alignment horizontal="right" wrapText="1"/>
      <protection/>
    </xf>
    <xf numFmtId="0" fontId="0" fillId="8" borderId="3" xfId="0" applyFill="1" applyBorder="1" applyAlignment="1">
      <alignment/>
    </xf>
    <xf numFmtId="10" fontId="1" fillId="4" borderId="3" xfId="19" applyNumberFormat="1" applyFont="1" applyFill="1" applyBorder="1" applyAlignment="1">
      <alignment horizontal="right" wrapText="1"/>
      <protection/>
    </xf>
    <xf numFmtId="0" fontId="1" fillId="0" borderId="6" xfId="19" applyFont="1" applyFill="1" applyBorder="1" applyAlignment="1">
      <alignment wrapText="1"/>
      <protection/>
    </xf>
    <xf numFmtId="0" fontId="1" fillId="0" borderId="6" xfId="19" applyFill="1" applyBorder="1">
      <alignment/>
      <protection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1" fillId="9" borderId="5" xfId="19" applyFont="1" applyFill="1" applyBorder="1" applyAlignment="1">
      <alignment wrapText="1"/>
      <protection/>
    </xf>
    <xf numFmtId="3" fontId="1" fillId="9" borderId="5" xfId="19" applyNumberFormat="1" applyFill="1" applyBorder="1">
      <alignment/>
      <protection/>
    </xf>
    <xf numFmtId="10" fontId="1" fillId="8" borderId="3" xfId="19" applyNumberFormat="1" applyFont="1" applyFill="1" applyBorder="1">
      <alignment/>
      <protection/>
    </xf>
    <xf numFmtId="10" fontId="1" fillId="8" borderId="3" xfId="19" applyNumberFormat="1" applyFill="1" applyBorder="1">
      <alignment/>
      <protection/>
    </xf>
    <xf numFmtId="3" fontId="1" fillId="0" borderId="3" xfId="20" applyNumberFormat="1" applyFont="1" applyFill="1" applyBorder="1" applyAlignment="1">
      <alignment horizontal="right" wrapText="1"/>
      <protection/>
    </xf>
    <xf numFmtId="0" fontId="1" fillId="5" borderId="3" xfId="20" applyFont="1" applyFill="1" applyBorder="1" applyAlignment="1">
      <alignment horizontal="center"/>
      <protection/>
    </xf>
    <xf numFmtId="0" fontId="1" fillId="10" borderId="3" xfId="20" applyFont="1" applyFill="1" applyBorder="1" applyAlignment="1">
      <alignment wrapText="1"/>
      <protection/>
    </xf>
    <xf numFmtId="3" fontId="1" fillId="10" borderId="3" xfId="20" applyNumberFormat="1" applyFont="1" applyFill="1" applyBorder="1" applyAlignment="1">
      <alignment horizontal="right" wrapText="1"/>
      <protection/>
    </xf>
    <xf numFmtId="0" fontId="1" fillId="11" borderId="3" xfId="20" applyFont="1" applyFill="1" applyBorder="1" applyAlignment="1">
      <alignment wrapText="1"/>
      <protection/>
    </xf>
    <xf numFmtId="3" fontId="1" fillId="11" borderId="3" xfId="20" applyNumberFormat="1" applyFont="1" applyFill="1" applyBorder="1" applyAlignment="1">
      <alignment horizontal="right" wrapText="1"/>
      <protection/>
    </xf>
    <xf numFmtId="0" fontId="1" fillId="12" borderId="3" xfId="20" applyFont="1" applyFill="1" applyBorder="1" applyAlignment="1">
      <alignment wrapText="1"/>
      <protection/>
    </xf>
    <xf numFmtId="3" fontId="1" fillId="12" borderId="3" xfId="20" applyNumberFormat="1" applyFont="1" applyFill="1" applyBorder="1" applyAlignment="1">
      <alignment horizontal="right" wrapText="1"/>
      <protection/>
    </xf>
    <xf numFmtId="0" fontId="6" fillId="13" borderId="3" xfId="20" applyFont="1" applyFill="1" applyBorder="1" applyAlignment="1">
      <alignment wrapText="1"/>
      <protection/>
    </xf>
    <xf numFmtId="3" fontId="6" fillId="13" borderId="3" xfId="20" applyNumberFormat="1" applyFont="1" applyFill="1" applyBorder="1" applyAlignment="1">
      <alignment horizontal="right" wrapText="1"/>
      <protection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1" fillId="10" borderId="3" xfId="20" applyNumberFormat="1" applyFont="1" applyFill="1" applyBorder="1" applyAlignment="1">
      <alignment horizontal="right" wrapText="1"/>
      <protection/>
    </xf>
    <xf numFmtId="164" fontId="1" fillId="11" borderId="3" xfId="20" applyNumberFormat="1" applyFont="1" applyFill="1" applyBorder="1" applyAlignment="1">
      <alignment horizontal="right" wrapText="1"/>
      <protection/>
    </xf>
    <xf numFmtId="164" fontId="1" fillId="12" borderId="3" xfId="20" applyNumberFormat="1" applyFont="1" applyFill="1" applyBorder="1" applyAlignment="1">
      <alignment horizontal="right" wrapText="1"/>
      <protection/>
    </xf>
    <xf numFmtId="164" fontId="6" fillId="13" borderId="3" xfId="20" applyNumberFormat="1" applyFont="1" applyFill="1" applyBorder="1" applyAlignment="1">
      <alignment horizontal="right" wrapText="1"/>
      <protection/>
    </xf>
    <xf numFmtId="164" fontId="4" fillId="0" borderId="5" xfId="0" applyNumberFormat="1" applyFont="1" applyBorder="1" applyAlignment="1">
      <alignment/>
    </xf>
    <xf numFmtId="17" fontId="1" fillId="3" borderId="7" xfId="22" applyNumberFormat="1" applyFont="1" applyFill="1" applyBorder="1" applyAlignment="1">
      <alignment horizontal="center"/>
      <protection/>
    </xf>
    <xf numFmtId="17" fontId="1" fillId="3" borderId="3" xfId="22" applyNumberFormat="1" applyFont="1" applyFill="1" applyBorder="1" applyAlignment="1">
      <alignment horizontal="center"/>
      <protection/>
    </xf>
    <xf numFmtId="49" fontId="1" fillId="3" borderId="4" xfId="24" applyNumberFormat="1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right" wrapText="1"/>
      <protection/>
    </xf>
    <xf numFmtId="4" fontId="1" fillId="0" borderId="2" xfId="23" applyNumberFormat="1" applyFont="1" applyFill="1" applyBorder="1" applyAlignment="1">
      <alignment horizontal="right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Chiffres" xfId="19"/>
    <cellStyle name="Normal_Chiffres Inf Cutanées" xfId="20"/>
    <cellStyle name="Normal_Feuil2" xfId="21"/>
    <cellStyle name="Normal_tableau entrée" xfId="22"/>
    <cellStyle name="Normal_tableau entrée 1" xfId="23"/>
    <cellStyle name="Normal_tableau entrée 2" xfId="24"/>
    <cellStyle name="Normal_Tableau sorti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Evolution par ATB (%) - Infections respiratoires hautes et basses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25"/>
          <c:w val="0.69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respi'!$A$26</c:f>
              <c:strCache>
                <c:ptCount val="1"/>
                <c:pt idx="0">
                  <c:v>CLAMOXYL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respi'!$B$26:$AH$26</c:f>
              <c:numCache>
                <c:ptCount val="33"/>
                <c:pt idx="0">
                  <c:v>0.19475823173260345</c:v>
                </c:pt>
                <c:pt idx="1">
                  <c:v>0.19594288098996607</c:v>
                </c:pt>
                <c:pt idx="2">
                  <c:v>0.19243582781748536</c:v>
                </c:pt>
                <c:pt idx="3">
                  <c:v>0.19393638037386945</c:v>
                </c:pt>
                <c:pt idx="4">
                  <c:v>0.19443898299823048</c:v>
                </c:pt>
                <c:pt idx="5">
                  <c:v>0.18285404915390813</c:v>
                </c:pt>
                <c:pt idx="6">
                  <c:v>0.1879109722764545</c:v>
                </c:pt>
                <c:pt idx="7">
                  <c:v>0.1962770923972426</c:v>
                </c:pt>
                <c:pt idx="8">
                  <c:v>0.21373725506650443</c:v>
                </c:pt>
                <c:pt idx="9">
                  <c:v>0.21940987668224562</c:v>
                </c:pt>
                <c:pt idx="10">
                  <c:v>0.20307195359108737</c:v>
                </c:pt>
                <c:pt idx="11">
                  <c:v>0.2153740503884287</c:v>
                </c:pt>
                <c:pt idx="12">
                  <c:v>0.21683319337092324</c:v>
                </c:pt>
                <c:pt idx="13">
                  <c:v>0.23534352748028942</c:v>
                </c:pt>
                <c:pt idx="14">
                  <c:v>0.2376167331112446</c:v>
                </c:pt>
                <c:pt idx="15">
                  <c:v>0.22833637199210452</c:v>
                </c:pt>
                <c:pt idx="16">
                  <c:v>0.23519041388334136</c:v>
                </c:pt>
                <c:pt idx="17">
                  <c:v>0.22939383280572165</c:v>
                </c:pt>
                <c:pt idx="18">
                  <c:v>0.2432915262353353</c:v>
                </c:pt>
                <c:pt idx="19">
                  <c:v>0.23785569325100392</c:v>
                </c:pt>
                <c:pt idx="20">
                  <c:v>0.25413901809924827</c:v>
                </c:pt>
                <c:pt idx="21">
                  <c:v>0.24321777925568763</c:v>
                </c:pt>
                <c:pt idx="22">
                  <c:v>0.22765242724218912</c:v>
                </c:pt>
                <c:pt idx="23">
                  <c:v>0.24162879139226418</c:v>
                </c:pt>
                <c:pt idx="24">
                  <c:v>0.24097638186276032</c:v>
                </c:pt>
                <c:pt idx="25">
                  <c:v>0.2362577612516224</c:v>
                </c:pt>
                <c:pt idx="26">
                  <c:v>0.23546489182636626</c:v>
                </c:pt>
                <c:pt idx="27">
                  <c:v>0.2231367919372117</c:v>
                </c:pt>
                <c:pt idx="28">
                  <c:v>0.23209321582776365</c:v>
                </c:pt>
                <c:pt idx="29">
                  <c:v>0.22530785993006638</c:v>
                </c:pt>
                <c:pt idx="30">
                  <c:v>0.23412445194623413</c:v>
                </c:pt>
                <c:pt idx="31">
                  <c:v>0.24753501838954534</c:v>
                </c:pt>
                <c:pt idx="32">
                  <c:v>0.25602637325718125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respi'!$A$27</c:f>
              <c:strCache>
                <c:ptCount val="1"/>
                <c:pt idx="0">
                  <c:v>AUGMENTIN + Gé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respi'!$B$27:$AH$27</c:f>
              <c:numCache>
                <c:ptCount val="33"/>
                <c:pt idx="0">
                  <c:v>0.13706560504271378</c:v>
                </c:pt>
                <c:pt idx="1">
                  <c:v>0.138660570101428</c:v>
                </c:pt>
                <c:pt idx="2">
                  <c:v>0.13621086927807213</c:v>
                </c:pt>
                <c:pt idx="3">
                  <c:v>0.13737216271787772</c:v>
                </c:pt>
                <c:pt idx="4">
                  <c:v>0.13789749267878762</c:v>
                </c:pt>
                <c:pt idx="5">
                  <c:v>0.14669369460112813</c:v>
                </c:pt>
                <c:pt idx="6">
                  <c:v>0.15439281530652088</c:v>
                </c:pt>
                <c:pt idx="7">
                  <c:v>0.15853149770546515</c:v>
                </c:pt>
                <c:pt idx="8">
                  <c:v>0.15709310619728947</c:v>
                </c:pt>
                <c:pt idx="9">
                  <c:v>0.17731854271073821</c:v>
                </c:pt>
                <c:pt idx="10">
                  <c:v>0.1870200072513926</c:v>
                </c:pt>
                <c:pt idx="11">
                  <c:v>0.15730288853598867</c:v>
                </c:pt>
                <c:pt idx="12">
                  <c:v>0.15244477197552658</c:v>
                </c:pt>
                <c:pt idx="13">
                  <c:v>0.15846744172727795</c:v>
                </c:pt>
                <c:pt idx="14">
                  <c:v>0.16229315711867184</c:v>
                </c:pt>
                <c:pt idx="15">
                  <c:v>0.16300269712357046</c:v>
                </c:pt>
                <c:pt idx="16">
                  <c:v>0.15952069416706838</c:v>
                </c:pt>
                <c:pt idx="17">
                  <c:v>0.15853265330050417</c:v>
                </c:pt>
                <c:pt idx="18">
                  <c:v>0.1653498351658471</c:v>
                </c:pt>
                <c:pt idx="19">
                  <c:v>0.1736905738589749</c:v>
                </c:pt>
                <c:pt idx="20">
                  <c:v>0.17060911355569763</c:v>
                </c:pt>
                <c:pt idx="21">
                  <c:v>0.18970820517083714</c:v>
                </c:pt>
                <c:pt idx="22">
                  <c:v>0.1974791165016796</c:v>
                </c:pt>
                <c:pt idx="23">
                  <c:v>0.16992857805398387</c:v>
                </c:pt>
                <c:pt idx="24">
                  <c:v>0.15871636510350393</c:v>
                </c:pt>
                <c:pt idx="25">
                  <c:v>0.16069737257515698</c:v>
                </c:pt>
                <c:pt idx="26">
                  <c:v>0.15876275923838348</c:v>
                </c:pt>
                <c:pt idx="27">
                  <c:v>0.16183511510461074</c:v>
                </c:pt>
                <c:pt idx="28">
                  <c:v>0.15869166617377417</c:v>
                </c:pt>
                <c:pt idx="29">
                  <c:v>0.1698846264295005</c:v>
                </c:pt>
                <c:pt idx="30">
                  <c:v>0.17601531462917602</c:v>
                </c:pt>
                <c:pt idx="31">
                  <c:v>0.1795132639486658</c:v>
                </c:pt>
                <c:pt idx="32">
                  <c:v>0.17644464975642532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respi'!$A$28</c:f>
              <c:strCache>
                <c:ptCount val="1"/>
                <c:pt idx="0">
                  <c:v>ORACEFAL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respi'!$B$28:$AH$28</c:f>
              <c:numCache>
                <c:ptCount val="33"/>
                <c:pt idx="0">
                  <c:v>0.009056979348096541</c:v>
                </c:pt>
                <c:pt idx="1">
                  <c:v>0.008382777203200697</c:v>
                </c:pt>
                <c:pt idx="2">
                  <c:v>0.00929010669680203</c:v>
                </c:pt>
                <c:pt idx="3">
                  <c:v>0.008506806789318783</c:v>
                </c:pt>
                <c:pt idx="4">
                  <c:v>0.009168330970539235</c:v>
                </c:pt>
                <c:pt idx="5">
                  <c:v>0.007352941176470588</c:v>
                </c:pt>
                <c:pt idx="6">
                  <c:v>0.009043342444357673</c:v>
                </c:pt>
                <c:pt idx="7">
                  <c:v>0.0066948765321731525</c:v>
                </c:pt>
                <c:pt idx="8">
                  <c:v>0.008391725758402215</c:v>
                </c:pt>
                <c:pt idx="9">
                  <c:v>0.0069542203952925275</c:v>
                </c:pt>
                <c:pt idx="10">
                  <c:v>0.0059659184547941595</c:v>
                </c:pt>
                <c:pt idx="11">
                  <c:v>0.0075968925704965875</c:v>
                </c:pt>
                <c:pt idx="12">
                  <c:v>0.007300896330699755</c:v>
                </c:pt>
                <c:pt idx="13">
                  <c:v>0.007521524158601073</c:v>
                </c:pt>
                <c:pt idx="14">
                  <c:v>0.007591065479766261</c:v>
                </c:pt>
                <c:pt idx="15">
                  <c:v>0.006931155544171049</c:v>
                </c:pt>
                <c:pt idx="16">
                  <c:v>0.007368638523517664</c:v>
                </c:pt>
                <c:pt idx="17">
                  <c:v>0.006976198850979012</c:v>
                </c:pt>
                <c:pt idx="18">
                  <c:v>0.006114518297511833</c:v>
                </c:pt>
                <c:pt idx="19">
                  <c:v>0.006066755904831815</c:v>
                </c:pt>
                <c:pt idx="20">
                  <c:v>0.0054892969731707856</c:v>
                </c:pt>
                <c:pt idx="21">
                  <c:v>0.005625294427356112</c:v>
                </c:pt>
                <c:pt idx="22">
                  <c:v>0.0051428401557715745</c:v>
                </c:pt>
                <c:pt idx="23">
                  <c:v>0.0067711715054262125</c:v>
                </c:pt>
                <c:pt idx="24">
                  <c:v>0.00721579094379442</c:v>
                </c:pt>
                <c:pt idx="25">
                  <c:v>0.006209001297926825</c:v>
                </c:pt>
                <c:pt idx="26">
                  <c:v>0.007211575582562503</c:v>
                </c:pt>
                <c:pt idx="27">
                  <c:v>0.006984980651931528</c:v>
                </c:pt>
                <c:pt idx="28">
                  <c:v>0.006151298278819424</c:v>
                </c:pt>
                <c:pt idx="29">
                  <c:v>0.0069764691971148166</c:v>
                </c:pt>
                <c:pt idx="30">
                  <c:v>0.006957452502006957</c:v>
                </c:pt>
                <c:pt idx="31">
                  <c:v>0.006768917755692934</c:v>
                </c:pt>
                <c:pt idx="32">
                  <c:v>0.006803292457584411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respi'!$A$29</c:f>
              <c:strCache>
                <c:ptCount val="1"/>
                <c:pt idx="0">
                  <c:v>CEFAPEROS + Gé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respi'!$B$29:$AH$29</c:f>
              <c:numCache>
                <c:ptCount val="33"/>
                <c:pt idx="0">
                  <c:v>0.011229990876669154</c:v>
                </c:pt>
                <c:pt idx="1">
                  <c:v>0.010741567325313447</c:v>
                </c:pt>
                <c:pt idx="2">
                  <c:v>0.010933853853266213</c:v>
                </c:pt>
                <c:pt idx="3">
                  <c:v>0.010321054682775397</c:v>
                </c:pt>
                <c:pt idx="4">
                  <c:v>0.010617051439924667</c:v>
                </c:pt>
                <c:pt idx="5">
                  <c:v>0.009971796937953263</c:v>
                </c:pt>
                <c:pt idx="6">
                  <c:v>0.010480281140179617</c:v>
                </c:pt>
                <c:pt idx="7">
                  <c:v>0.00854242406182331</c:v>
                </c:pt>
                <c:pt idx="8">
                  <c:v>0.009042084504678386</c:v>
                </c:pt>
                <c:pt idx="9">
                  <c:v>0.00864350470184132</c:v>
                </c:pt>
                <c:pt idx="10">
                  <c:v>0.00540558357229968</c:v>
                </c:pt>
                <c:pt idx="11">
                  <c:v>0.0071033091548993515</c:v>
                </c:pt>
                <c:pt idx="12">
                  <c:v>0.009323210337794992</c:v>
                </c:pt>
                <c:pt idx="13">
                  <c:v>0.008323310997842812</c:v>
                </c:pt>
                <c:pt idx="14">
                  <c:v>0.009420566872371798</c:v>
                </c:pt>
                <c:pt idx="15">
                  <c:v>0.008392725300224509</c:v>
                </c:pt>
                <c:pt idx="16">
                  <c:v>0.009489704565801253</c:v>
                </c:pt>
                <c:pt idx="17">
                  <c:v>0.008544378004455387</c:v>
                </c:pt>
                <c:pt idx="18">
                  <c:v>0.007864154557342027</c:v>
                </c:pt>
                <c:pt idx="19">
                  <c:v>0.006412193963469925</c:v>
                </c:pt>
                <c:pt idx="20">
                  <c:v>0.00696633672097176</c:v>
                </c:pt>
                <c:pt idx="21">
                  <c:v>0.00617951062709563</c:v>
                </c:pt>
                <c:pt idx="22">
                  <c:v>0.0048752935580724755</c:v>
                </c:pt>
                <c:pt idx="23">
                  <c:v>0.006307392635191541</c:v>
                </c:pt>
                <c:pt idx="24">
                  <c:v>0.005943328884888737</c:v>
                </c:pt>
                <c:pt idx="25">
                  <c:v>0.004297190163819413</c:v>
                </c:pt>
                <c:pt idx="26">
                  <c:v>0.0036289513102830584</c:v>
                </c:pt>
                <c:pt idx="27">
                  <c:v>0.0033886447607179553</c:v>
                </c:pt>
                <c:pt idx="28">
                  <c:v>0.0030638197196427514</c:v>
                </c:pt>
                <c:pt idx="29">
                  <c:v>0.0015878646598760115</c:v>
                </c:pt>
                <c:pt idx="30">
                  <c:v>0.0017496552150017496</c:v>
                </c:pt>
                <c:pt idx="31">
                  <c:v>0.0015650676891775569</c:v>
                </c:pt>
                <c:pt idx="32">
                  <c:v>0.0011128842600369561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respi'!$A$30</c:f>
              <c:strCache>
                <c:ptCount val="1"/>
                <c:pt idx="0">
                  <c:v>ZINNAT + Gé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respi'!$B$30:$AH$30</c:f>
              <c:numCache>
                <c:ptCount val="33"/>
                <c:pt idx="0">
                  <c:v>0.06346520693373144</c:v>
                </c:pt>
                <c:pt idx="1">
                  <c:v>0.06218133652677227</c:v>
                </c:pt>
                <c:pt idx="2">
                  <c:v>0.06297606293203399</c:v>
                </c:pt>
                <c:pt idx="3">
                  <c:v>0.06538011853086237</c:v>
                </c:pt>
                <c:pt idx="4">
                  <c:v>0.06889700632263004</c:v>
                </c:pt>
                <c:pt idx="5">
                  <c:v>0.06938708702659147</c:v>
                </c:pt>
                <c:pt idx="6">
                  <c:v>0.061226083561108945</c:v>
                </c:pt>
                <c:pt idx="7">
                  <c:v>0.05552575640185152</c:v>
                </c:pt>
                <c:pt idx="8">
                  <c:v>0.0511265891830655</c:v>
                </c:pt>
                <c:pt idx="9">
                  <c:v>0.04226026240216228</c:v>
                </c:pt>
                <c:pt idx="10">
                  <c:v>0.04670556049968687</c:v>
                </c:pt>
                <c:pt idx="11">
                  <c:v>0.05058157002446457</c:v>
                </c:pt>
                <c:pt idx="12">
                  <c:v>0.0501293938199455</c:v>
                </c:pt>
                <c:pt idx="13">
                  <c:v>0.04927171028768875</c:v>
                </c:pt>
                <c:pt idx="14">
                  <c:v>0.049000600731800556</c:v>
                </c:pt>
                <c:pt idx="15">
                  <c:v>0.05546431208281224</c:v>
                </c:pt>
                <c:pt idx="16">
                  <c:v>0.05101577026375594</c:v>
                </c:pt>
                <c:pt idx="17">
                  <c:v>0.0487454566772189</c:v>
                </c:pt>
                <c:pt idx="18">
                  <c:v>0.045785218336188004</c:v>
                </c:pt>
                <c:pt idx="19">
                  <c:v>0.04197072412453042</c:v>
                </c:pt>
                <c:pt idx="20">
                  <c:v>0.03697008443376469</c:v>
                </c:pt>
                <c:pt idx="21">
                  <c:v>0.032809599024579486</c:v>
                </c:pt>
                <c:pt idx="22">
                  <c:v>0.03802134427301644</c:v>
                </c:pt>
                <c:pt idx="23">
                  <c:v>0.038795102495130324</c:v>
                </c:pt>
                <c:pt idx="24">
                  <c:v>0.038096272617237206</c:v>
                </c:pt>
                <c:pt idx="25">
                  <c:v>0.039920019644297894</c:v>
                </c:pt>
                <c:pt idx="26">
                  <c:v>0.03928532822706426</c:v>
                </c:pt>
                <c:pt idx="27">
                  <c:v>0.044609868608032184</c:v>
                </c:pt>
                <c:pt idx="28">
                  <c:v>0.04288164665523156</c:v>
                </c:pt>
                <c:pt idx="29">
                  <c:v>0.0412169124478454</c:v>
                </c:pt>
                <c:pt idx="30">
                  <c:v>0.040262654124040266</c:v>
                </c:pt>
                <c:pt idx="31">
                  <c:v>0.03852022849988262</c:v>
                </c:pt>
                <c:pt idx="32">
                  <c:v>0.03525533344532169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respi'!$A$31</c:f>
              <c:strCache>
                <c:ptCount val="1"/>
                <c:pt idx="0">
                  <c:v>ALFATIL + Gé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respi'!$B$31:$AH$31</c:f>
              <c:numCache>
                <c:ptCount val="33"/>
                <c:pt idx="0">
                  <c:v>0.024251472173840924</c:v>
                </c:pt>
                <c:pt idx="1">
                  <c:v>0.021791591820441637</c:v>
                </c:pt>
                <c:pt idx="2">
                  <c:v>0.024083831104979674</c:v>
                </c:pt>
                <c:pt idx="3">
                  <c:v>0.023383639515663007</c:v>
                </c:pt>
                <c:pt idx="4">
                  <c:v>0.024183283835383963</c:v>
                </c:pt>
                <c:pt idx="5">
                  <c:v>0.021467062852538275</c:v>
                </c:pt>
                <c:pt idx="6">
                  <c:v>0.022428738773916438</c:v>
                </c:pt>
                <c:pt idx="7">
                  <c:v>0.02099847031010986</c:v>
                </c:pt>
                <c:pt idx="8">
                  <c:v>0.022259052574161876</c:v>
                </c:pt>
                <c:pt idx="9">
                  <c:v>0.019764626386620868</c:v>
                </c:pt>
                <c:pt idx="10">
                  <c:v>0.016150828966017338</c:v>
                </c:pt>
                <c:pt idx="11">
                  <c:v>0.022318554444396756</c:v>
                </c:pt>
                <c:pt idx="12">
                  <c:v>0.023925002999194502</c:v>
                </c:pt>
                <c:pt idx="13">
                  <c:v>0.024034515014413074</c:v>
                </c:pt>
                <c:pt idx="14">
                  <c:v>0.02460269783190432</c:v>
                </c:pt>
                <c:pt idx="15">
                  <c:v>0.023234438802416865</c:v>
                </c:pt>
                <c:pt idx="16">
                  <c:v>0.02616899662557675</c:v>
                </c:pt>
                <c:pt idx="17">
                  <c:v>0.02378649314104819</c:v>
                </c:pt>
                <c:pt idx="18">
                  <c:v>0.02147448293644216</c:v>
                </c:pt>
                <c:pt idx="19">
                  <c:v>0.019128632497085366</c:v>
                </c:pt>
                <c:pt idx="20">
                  <c:v>0.02043605740614184</c:v>
                </c:pt>
                <c:pt idx="21">
                  <c:v>0.017208413001912046</c:v>
                </c:pt>
                <c:pt idx="22">
                  <c:v>0.016350069859389398</c:v>
                </c:pt>
                <c:pt idx="23">
                  <c:v>0.023003431963639735</c:v>
                </c:pt>
                <c:pt idx="24">
                  <c:v>0.024394028739021134</c:v>
                </c:pt>
                <c:pt idx="25">
                  <c:v>0.022678640333953063</c:v>
                </c:pt>
                <c:pt idx="26">
                  <c:v>0.024352579643899502</c:v>
                </c:pt>
                <c:pt idx="27">
                  <c:v>0.024780831201766468</c:v>
                </c:pt>
                <c:pt idx="28">
                  <c:v>0.024593363695510736</c:v>
                </c:pt>
                <c:pt idx="29">
                  <c:v>0.023311204581158467</c:v>
                </c:pt>
                <c:pt idx="30">
                  <c:v>0.023157201375023157</c:v>
                </c:pt>
                <c:pt idx="31">
                  <c:v>0.02245872133969794</c:v>
                </c:pt>
                <c:pt idx="32">
                  <c:v>0.021144800940702167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respi'!$A$32</c:f>
              <c:strCache>
                <c:ptCount val="1"/>
                <c:pt idx="0">
                  <c:v>TEXODIL / TAKETIAM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respi'!$B$32:$AH$32</c:f>
              <c:numCache>
                <c:ptCount val="33"/>
                <c:pt idx="0">
                  <c:v>0.017699261839595255</c:v>
                </c:pt>
                <c:pt idx="1">
                  <c:v>0.017364324206630016</c:v>
                </c:pt>
                <c:pt idx="2">
                  <c:v>0.015997182147731777</c:v>
                </c:pt>
                <c:pt idx="3">
                  <c:v>0.016959858085498113</c:v>
                </c:pt>
                <c:pt idx="4">
                  <c:v>0.01562548506265716</c:v>
                </c:pt>
                <c:pt idx="5">
                  <c:v>0.0148191982272361</c:v>
                </c:pt>
                <c:pt idx="6">
                  <c:v>0.012182741116751269</c:v>
                </c:pt>
                <c:pt idx="7">
                  <c:v>0.011999125891491349</c:v>
                </c:pt>
                <c:pt idx="8">
                  <c:v>0.008685436159946294</c:v>
                </c:pt>
                <c:pt idx="9">
                  <c:v>0.008108564671434202</c:v>
                </c:pt>
                <c:pt idx="10">
                  <c:v>0.008833514618148257</c:v>
                </c:pt>
                <c:pt idx="11">
                  <c:v>0.010451092321558865</c:v>
                </c:pt>
                <c:pt idx="12">
                  <c:v>0.009785943203825259</c:v>
                </c:pt>
                <c:pt idx="13">
                  <c:v>0.009163278162762729</c:v>
                </c:pt>
                <c:pt idx="14">
                  <c:v>0.009611708808912675</c:v>
                </c:pt>
                <c:pt idx="15">
                  <c:v>0.011014510223454428</c:v>
                </c:pt>
                <c:pt idx="16">
                  <c:v>0.011349080641829075</c:v>
                </c:pt>
                <c:pt idx="17">
                  <c:v>0.011402274592566538</c:v>
                </c:pt>
                <c:pt idx="18">
                  <c:v>0.008545591837486417</c:v>
                </c:pt>
                <c:pt idx="19">
                  <c:v>0.008592771708622998</c:v>
                </c:pt>
                <c:pt idx="20">
                  <c:v>0.007120654306562907</c:v>
                </c:pt>
                <c:pt idx="21">
                  <c:v>0.007398786266522571</c:v>
                </c:pt>
                <c:pt idx="22">
                  <c:v>0.008710128125092899</c:v>
                </c:pt>
                <c:pt idx="23">
                  <c:v>0.00925238846118171</c:v>
                </c:pt>
                <c:pt idx="24">
                  <c:v>0.009869339871512367</c:v>
                </c:pt>
                <c:pt idx="25">
                  <c:v>0.010699126530325885</c:v>
                </c:pt>
                <c:pt idx="26">
                  <c:v>0.008972003026699817</c:v>
                </c:pt>
                <c:pt idx="27">
                  <c:v>0.011051354364793074</c:v>
                </c:pt>
                <c:pt idx="28">
                  <c:v>0.010610989530963507</c:v>
                </c:pt>
                <c:pt idx="29">
                  <c:v>0.009814354972212369</c:v>
                </c:pt>
                <c:pt idx="30">
                  <c:v>0.008624771001008625</c:v>
                </c:pt>
                <c:pt idx="31">
                  <c:v>0.007649268330855309</c:v>
                </c:pt>
                <c:pt idx="32">
                  <c:v>0.0062783470519066015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'Chiffres Inf respi'!$A$33</c:f>
              <c:strCache>
                <c:ptCount val="1"/>
                <c:pt idx="0">
                  <c:v>ROCEPHINE + Gé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respi'!$B$33:$AH$33</c:f>
              <c:numCache>
                <c:ptCount val="33"/>
                <c:pt idx="0">
                  <c:v>0.019291697768930912</c:v>
                </c:pt>
                <c:pt idx="1">
                  <c:v>0.02063034129878613</c:v>
                </c:pt>
                <c:pt idx="2">
                  <c:v>0.018668271276986073</c:v>
                </c:pt>
                <c:pt idx="3">
                  <c:v>0.021596269368776122</c:v>
                </c:pt>
                <c:pt idx="4">
                  <c:v>0.022527603298943467</c:v>
                </c:pt>
                <c:pt idx="5">
                  <c:v>0.026276692183722805</c:v>
                </c:pt>
                <c:pt idx="6">
                  <c:v>0.01860210855134713</c:v>
                </c:pt>
                <c:pt idx="7">
                  <c:v>0.02133619405208892</c:v>
                </c:pt>
                <c:pt idx="8">
                  <c:v>0.017265975747912558</c:v>
                </c:pt>
                <c:pt idx="9">
                  <c:v>0.016583140942620644</c:v>
                </c:pt>
                <c:pt idx="10">
                  <c:v>0.022083786545370646</c:v>
                </c:pt>
                <c:pt idx="11">
                  <c:v>0.017211039100390575</c:v>
                </c:pt>
                <c:pt idx="12">
                  <c:v>0.01684690397436117</c:v>
                </c:pt>
                <c:pt idx="13">
                  <c:v>0.018937441536376304</c:v>
                </c:pt>
                <c:pt idx="14">
                  <c:v>0.017271039266014962</c:v>
                </c:pt>
                <c:pt idx="15">
                  <c:v>0.02272213600132596</c:v>
                </c:pt>
                <c:pt idx="16">
                  <c:v>0.01805660767164796</c:v>
                </c:pt>
                <c:pt idx="17">
                  <c:v>0.022687302145620824</c:v>
                </c:pt>
                <c:pt idx="18">
                  <c:v>0.017164852570123578</c:v>
                </c:pt>
                <c:pt idx="19">
                  <c:v>0.019603609827712767</c:v>
                </c:pt>
                <c:pt idx="20">
                  <c:v>0.018606291748418245</c:v>
                </c:pt>
                <c:pt idx="21">
                  <c:v>0.017152991381938095</c:v>
                </c:pt>
                <c:pt idx="22">
                  <c:v>0.0200362674276881</c:v>
                </c:pt>
                <c:pt idx="23">
                  <c:v>0.018156942769687413</c:v>
                </c:pt>
                <c:pt idx="24">
                  <c:v>0.01672822072561373</c:v>
                </c:pt>
                <c:pt idx="25">
                  <c:v>0.017609709895815062</c:v>
                </c:pt>
                <c:pt idx="26">
                  <c:v>0.016878484179316523</c:v>
                </c:pt>
                <c:pt idx="27">
                  <c:v>0.021381255328917163</c:v>
                </c:pt>
                <c:pt idx="28">
                  <c:v>0.019920742887561366</c:v>
                </c:pt>
                <c:pt idx="29">
                  <c:v>0.02040575009713002</c:v>
                </c:pt>
                <c:pt idx="30">
                  <c:v>0.019122702291019124</c:v>
                </c:pt>
                <c:pt idx="31">
                  <c:v>0.018663432193442367</c:v>
                </c:pt>
                <c:pt idx="32">
                  <c:v>0.018037124139089533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'Chiffres Inf respi'!$A$34</c:f>
              <c:strCache>
                <c:ptCount val="1"/>
                <c:pt idx="0">
                  <c:v>OROKEN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respi'!$B$34:$AH$34</c:f>
              <c:numCache>
                <c:ptCount val="33"/>
                <c:pt idx="0">
                  <c:v>0.041336982665671394</c:v>
                </c:pt>
                <c:pt idx="1">
                  <c:v>0.04149656160978354</c:v>
                </c:pt>
                <c:pt idx="2">
                  <c:v>0.04421973377166591</c:v>
                </c:pt>
                <c:pt idx="3">
                  <c:v>0.0427624947924366</c:v>
                </c:pt>
                <c:pt idx="4">
                  <c:v>0.04174384552500595</c:v>
                </c:pt>
                <c:pt idx="5">
                  <c:v>0.04406728444802579</c:v>
                </c:pt>
                <c:pt idx="6">
                  <c:v>0.048777821163607966</c:v>
                </c:pt>
                <c:pt idx="7">
                  <c:v>0.04487752547827642</c:v>
                </c:pt>
                <c:pt idx="8">
                  <c:v>0.04602861578483615</c:v>
                </c:pt>
                <c:pt idx="9">
                  <c:v>0.04898924488991497</c:v>
                </c:pt>
                <c:pt idx="10">
                  <c:v>0.04453014272059066</c:v>
                </c:pt>
                <c:pt idx="11">
                  <c:v>0.0419116700287566</c:v>
                </c:pt>
                <c:pt idx="12">
                  <c:v>0.03933229361257262</c:v>
                </c:pt>
                <c:pt idx="13">
                  <c:v>0.0408529484756505</c:v>
                </c:pt>
                <c:pt idx="14">
                  <c:v>0.03829665228551144</c:v>
                </c:pt>
                <c:pt idx="15">
                  <c:v>0.03659951481911191</c:v>
                </c:pt>
                <c:pt idx="16">
                  <c:v>0.03670546105640107</c:v>
                </c:pt>
                <c:pt idx="17">
                  <c:v>0.03882342595849455</c:v>
                </c:pt>
                <c:pt idx="18">
                  <c:v>0.039394441681860876</c:v>
                </c:pt>
                <c:pt idx="19">
                  <c:v>0.03968219698605294</c:v>
                </c:pt>
                <c:pt idx="20">
                  <c:v>0.04045325279425057</c:v>
                </c:pt>
                <c:pt idx="21">
                  <c:v>0.04699753373791116</c:v>
                </c:pt>
                <c:pt idx="22">
                  <c:v>0.046553107999643274</c:v>
                </c:pt>
                <c:pt idx="23">
                  <c:v>0.04456914942955199</c:v>
                </c:pt>
                <c:pt idx="24">
                  <c:v>0.03829800440706372</c:v>
                </c:pt>
                <c:pt idx="25">
                  <c:v>0.03820114357877013</c:v>
                </c:pt>
                <c:pt idx="26">
                  <c:v>0.03925444353506185</c:v>
                </c:pt>
                <c:pt idx="27">
                  <c:v>0.03581032334229685</c:v>
                </c:pt>
                <c:pt idx="28">
                  <c:v>0.035251670905542085</c:v>
                </c:pt>
                <c:pt idx="29">
                  <c:v>0.03974729302859845</c:v>
                </c:pt>
                <c:pt idx="30">
                  <c:v>0.039007019205039004</c:v>
                </c:pt>
                <c:pt idx="31">
                  <c:v>0.04065263322638704</c:v>
                </c:pt>
                <c:pt idx="32">
                  <c:v>0.04243658659499412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'Chiffres Inf respi'!$A$35</c:f>
              <c:strCache>
                <c:ptCount val="1"/>
                <c:pt idx="0">
                  <c:v>ORELOX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respi'!$B$35:$AH$35</c:f>
              <c:numCache>
                <c:ptCount val="33"/>
                <c:pt idx="0">
                  <c:v>0.13590445384423985</c:v>
                </c:pt>
                <c:pt idx="1">
                  <c:v>0.13212853591711574</c:v>
                </c:pt>
                <c:pt idx="2">
                  <c:v>0.14648428900597327</c:v>
                </c:pt>
                <c:pt idx="3">
                  <c:v>0.14716910134254343</c:v>
                </c:pt>
                <c:pt idx="4">
                  <c:v>0.14657946749174747</c:v>
                </c:pt>
                <c:pt idx="5">
                  <c:v>0.14221142224012892</c:v>
                </c:pt>
                <c:pt idx="6">
                  <c:v>0.1560171807887544</c:v>
                </c:pt>
                <c:pt idx="7">
                  <c:v>0.13979776307686195</c:v>
                </c:pt>
                <c:pt idx="8">
                  <c:v>0.14383417949901398</c:v>
                </c:pt>
                <c:pt idx="9">
                  <c:v>0.13559322033898305</c:v>
                </c:pt>
                <c:pt idx="10">
                  <c:v>0.12508652229803224</c:v>
                </c:pt>
                <c:pt idx="11">
                  <c:v>0.12848190909481094</c:v>
                </c:pt>
                <c:pt idx="12">
                  <c:v>0.13439819020034618</c:v>
                </c:pt>
                <c:pt idx="13">
                  <c:v>0.12469694366492946</c:v>
                </c:pt>
                <c:pt idx="14">
                  <c:v>0.13852329201026706</c:v>
                </c:pt>
                <c:pt idx="15">
                  <c:v>0.13283710277698255</c:v>
                </c:pt>
                <c:pt idx="16">
                  <c:v>0.14986571172784244</c:v>
                </c:pt>
                <c:pt idx="17">
                  <c:v>0.13890843006214093</c:v>
                </c:pt>
                <c:pt idx="18">
                  <c:v>0.1507633939259996</c:v>
                </c:pt>
                <c:pt idx="19">
                  <c:v>0.13722526879398939</c:v>
                </c:pt>
                <c:pt idx="20">
                  <c:v>0.1349397059147726</c:v>
                </c:pt>
                <c:pt idx="21">
                  <c:v>0.14675644969102447</c:v>
                </c:pt>
                <c:pt idx="22">
                  <c:v>0.1283926394958233</c:v>
                </c:pt>
                <c:pt idx="23">
                  <c:v>0.1271681662183471</c:v>
                </c:pt>
                <c:pt idx="24">
                  <c:v>0.1414450203283573</c:v>
                </c:pt>
                <c:pt idx="25">
                  <c:v>0.14163187988915002</c:v>
                </c:pt>
                <c:pt idx="26">
                  <c:v>0.15865466281637505</c:v>
                </c:pt>
                <c:pt idx="27">
                  <c:v>0.1564570079359874</c:v>
                </c:pt>
                <c:pt idx="28">
                  <c:v>0.161731827053883</c:v>
                </c:pt>
                <c:pt idx="29">
                  <c:v>0.15481680433791112</c:v>
                </c:pt>
                <c:pt idx="30">
                  <c:v>0.15032625923715032</c:v>
                </c:pt>
                <c:pt idx="31">
                  <c:v>0.14979654120040692</c:v>
                </c:pt>
                <c:pt idx="32">
                  <c:v>0.14845456072568453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'Chiffres Inf respi'!$A$36</c:f>
              <c:strCache>
                <c:ptCount val="1"/>
                <c:pt idx="0">
                  <c:v>RULID / CLARAMID + Gé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respi'!$B$36:$AH$36</c:f>
              <c:numCache>
                <c:ptCount val="33"/>
                <c:pt idx="0">
                  <c:v>0.030588040142655717</c:v>
                </c:pt>
                <c:pt idx="1">
                  <c:v>0.031136029611888303</c:v>
                </c:pt>
                <c:pt idx="2">
                  <c:v>0.030233206627823354</c:v>
                </c:pt>
                <c:pt idx="3">
                  <c:v>0.03390627729771136</c:v>
                </c:pt>
                <c:pt idx="4">
                  <c:v>0.03642497180169087</c:v>
                </c:pt>
                <c:pt idx="5">
                  <c:v>0.032559427880741336</c:v>
                </c:pt>
                <c:pt idx="6">
                  <c:v>0.028535728231159702</c:v>
                </c:pt>
                <c:pt idx="7">
                  <c:v>0.03017660965095258</c:v>
                </c:pt>
                <c:pt idx="8">
                  <c:v>0.028552846892963536</c:v>
                </c:pt>
                <c:pt idx="9">
                  <c:v>0.024832479306267245</c:v>
                </c:pt>
                <c:pt idx="10">
                  <c:v>0.027555291868552028</c:v>
                </c:pt>
                <c:pt idx="11">
                  <c:v>0.03049487102450749</c:v>
                </c:pt>
                <c:pt idx="12">
                  <c:v>0.029357829611475775</c:v>
                </c:pt>
                <c:pt idx="13">
                  <c:v>0.02548536739018384</c:v>
                </c:pt>
                <c:pt idx="14">
                  <c:v>0.026200098301567363</c:v>
                </c:pt>
                <c:pt idx="15">
                  <c:v>0.02864375367275905</c:v>
                </c:pt>
                <c:pt idx="16">
                  <c:v>0.026623510777494662</c:v>
                </c:pt>
                <c:pt idx="17">
                  <c:v>0.026952163207879</c:v>
                </c:pt>
                <c:pt idx="18">
                  <c:v>0.024771165994438</c:v>
                </c:pt>
                <c:pt idx="19">
                  <c:v>0.024310203376657024</c:v>
                </c:pt>
                <c:pt idx="20">
                  <c:v>0.02178082493772183</c:v>
                </c:pt>
                <c:pt idx="21">
                  <c:v>0.01995178319062266</c:v>
                </c:pt>
                <c:pt idx="22">
                  <c:v>0.023722464995986802</c:v>
                </c:pt>
                <c:pt idx="23">
                  <c:v>0.02469622483999629</c:v>
                </c:pt>
                <c:pt idx="24">
                  <c:v>0.024037118649328077</c:v>
                </c:pt>
                <c:pt idx="25">
                  <c:v>0.02320482688462483</c:v>
                </c:pt>
                <c:pt idx="26">
                  <c:v>0.022746575659774233</c:v>
                </c:pt>
                <c:pt idx="27">
                  <c:v>0.026967053628036117</c:v>
                </c:pt>
                <c:pt idx="28">
                  <c:v>0.027609865736085645</c:v>
                </c:pt>
                <c:pt idx="29">
                  <c:v>0.024510549164681837</c:v>
                </c:pt>
                <c:pt idx="30">
                  <c:v>0.02284843869002285</c:v>
                </c:pt>
                <c:pt idx="31">
                  <c:v>0.023436888645433914</c:v>
                </c:pt>
                <c:pt idx="32">
                  <c:v>0.02080883588106837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'Chiffres Inf respi'!$A$37</c:f>
              <c:strCache>
                <c:ptCount val="1"/>
                <c:pt idx="0">
                  <c:v>JOSACINE + Gé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respi'!$B$37:$AH$37</c:f>
              <c:numCache>
                <c:ptCount val="33"/>
                <c:pt idx="0">
                  <c:v>0.02586049597744049</c:v>
                </c:pt>
                <c:pt idx="1">
                  <c:v>0.022934697802696278</c:v>
                </c:pt>
                <c:pt idx="2">
                  <c:v>0.02552210986688583</c:v>
                </c:pt>
                <c:pt idx="3">
                  <c:v>0.025748881213799035</c:v>
                </c:pt>
                <c:pt idx="4">
                  <c:v>0.027649864958556248</c:v>
                </c:pt>
                <c:pt idx="5">
                  <c:v>0.024501410153102338</c:v>
                </c:pt>
                <c:pt idx="6">
                  <c:v>0.0278016399843811</c:v>
                </c:pt>
                <c:pt idx="7">
                  <c:v>0.024872360291634383</c:v>
                </c:pt>
                <c:pt idx="8">
                  <c:v>0.02905635043846767</c:v>
                </c:pt>
                <c:pt idx="9">
                  <c:v>0.026127597274621318</c:v>
                </c:pt>
                <c:pt idx="10">
                  <c:v>0.021820099541843833</c:v>
                </c:pt>
                <c:pt idx="11">
                  <c:v>0.023777844542684234</c:v>
                </c:pt>
                <c:pt idx="12">
                  <c:v>0.025913040497694904</c:v>
                </c:pt>
                <c:pt idx="13">
                  <c:v>0.025809900158448352</c:v>
                </c:pt>
                <c:pt idx="14">
                  <c:v>0.027469826880017475</c:v>
                </c:pt>
                <c:pt idx="15">
                  <c:v>0.022059155905796556</c:v>
                </c:pt>
                <c:pt idx="16">
                  <c:v>0.02517732938502858</c:v>
                </c:pt>
                <c:pt idx="17">
                  <c:v>0.02468050181732911</c:v>
                </c:pt>
                <c:pt idx="18">
                  <c:v>0.023610880895813764</c:v>
                </c:pt>
                <c:pt idx="19">
                  <c:v>0.020380845459648515</c:v>
                </c:pt>
                <c:pt idx="20">
                  <c:v>0.02118559996472741</c:v>
                </c:pt>
                <c:pt idx="21">
                  <c:v>0.02313852633912489</c:v>
                </c:pt>
                <c:pt idx="22">
                  <c:v>0.01703380005350932</c:v>
                </c:pt>
                <c:pt idx="23">
                  <c:v>0.020012058250626102</c:v>
                </c:pt>
                <c:pt idx="24">
                  <c:v>0.02001800068278452</c:v>
                </c:pt>
                <c:pt idx="25">
                  <c:v>0.02034587995930824</c:v>
                </c:pt>
                <c:pt idx="26">
                  <c:v>0.022206093549732075</c:v>
                </c:pt>
                <c:pt idx="27">
                  <c:v>0.019905555191185153</c:v>
                </c:pt>
                <c:pt idx="28">
                  <c:v>0.021020878925888685</c:v>
                </c:pt>
                <c:pt idx="29">
                  <c:v>0.018868561968952178</c:v>
                </c:pt>
                <c:pt idx="30">
                  <c:v>0.01866985035301867</c:v>
                </c:pt>
                <c:pt idx="31">
                  <c:v>0.021050160419438142</c:v>
                </c:pt>
                <c:pt idx="32">
                  <c:v>0.022803628422644044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'Chiffres Inf respi'!$A$38</c:f>
              <c:strCache>
                <c:ptCount val="1"/>
                <c:pt idx="0">
                  <c:v>NAXY / ZECLAR / MONONAXY / MONOZECLAR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respi'!$B$38:$AH$38</c:f>
              <c:numCache>
                <c:ptCount val="33"/>
                <c:pt idx="0">
                  <c:v>0.08478062536285975</c:v>
                </c:pt>
                <c:pt idx="1">
                  <c:v>0.0858055268267015</c:v>
                </c:pt>
                <c:pt idx="2">
                  <c:v>0.08959889634119494</c:v>
                </c:pt>
                <c:pt idx="3">
                  <c:v>0.08853529720068269</c:v>
                </c:pt>
                <c:pt idx="4">
                  <c:v>0.10030319649823567</c:v>
                </c:pt>
                <c:pt idx="5">
                  <c:v>0.09323378323932313</c:v>
                </c:pt>
                <c:pt idx="6">
                  <c:v>0.08571651698555252</c:v>
                </c:pt>
                <c:pt idx="7">
                  <c:v>0.08544410672070246</c:v>
                </c:pt>
                <c:pt idx="8">
                  <c:v>0.08116896739814543</c:v>
                </c:pt>
                <c:pt idx="9">
                  <c:v>0.07576440114871333</c:v>
                </c:pt>
                <c:pt idx="10">
                  <c:v>0.07739213553511981</c:v>
                </c:pt>
                <c:pt idx="11">
                  <c:v>0.09787973732778231</c:v>
                </c:pt>
                <c:pt idx="12">
                  <c:v>0.10934206241752215</c:v>
                </c:pt>
                <c:pt idx="13">
                  <c:v>0.09655804364011225</c:v>
                </c:pt>
                <c:pt idx="14">
                  <c:v>0.09619900606192999</c:v>
                </c:pt>
                <c:pt idx="15">
                  <c:v>0.0927418747268974</c:v>
                </c:pt>
                <c:pt idx="16">
                  <c:v>0.08982852420632188</c:v>
                </c:pt>
                <c:pt idx="17">
                  <c:v>0.0869386797983351</c:v>
                </c:pt>
                <c:pt idx="18">
                  <c:v>0.08823691916680479</c:v>
                </c:pt>
                <c:pt idx="19">
                  <c:v>0.0887559911913295</c:v>
                </c:pt>
                <c:pt idx="20">
                  <c:v>0.0822733184894513</c:v>
                </c:pt>
                <c:pt idx="21">
                  <c:v>0.06991437359714024</c:v>
                </c:pt>
                <c:pt idx="22">
                  <c:v>0.07232676357798984</c:v>
                </c:pt>
                <c:pt idx="23">
                  <c:v>0.08051201187273908</c:v>
                </c:pt>
                <c:pt idx="24">
                  <c:v>0.09237764191055522</c:v>
                </c:pt>
                <c:pt idx="25">
                  <c:v>0.09124074788648402</c:v>
                </c:pt>
                <c:pt idx="26">
                  <c:v>0.09313278873326436</c:v>
                </c:pt>
                <c:pt idx="27">
                  <c:v>0.09392011543254411</c:v>
                </c:pt>
                <c:pt idx="28">
                  <c:v>0.09549890577867155</c:v>
                </c:pt>
                <c:pt idx="29">
                  <c:v>0.08385276778323958</c:v>
                </c:pt>
                <c:pt idx="30">
                  <c:v>0.08577427389308577</c:v>
                </c:pt>
                <c:pt idx="31">
                  <c:v>0.07936849518741686</c:v>
                </c:pt>
                <c:pt idx="32">
                  <c:v>0.08182848983705694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'Chiffres Inf respi'!$A$39</c:f>
              <c:strCache>
                <c:ptCount val="1"/>
                <c:pt idx="0">
                  <c:v>ZITHROMAX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respi'!$B$39:$AH$39</c:f>
              <c:numCache>
                <c:ptCount val="33"/>
                <c:pt idx="0">
                  <c:v>0.05626606950319316</c:v>
                </c:pt>
                <c:pt idx="1">
                  <c:v>0.0584435614101936</c:v>
                </c:pt>
                <c:pt idx="2">
                  <c:v>0.0532016378766309</c:v>
                </c:pt>
                <c:pt idx="3">
                  <c:v>0.050919890876348926</c:v>
                </c:pt>
                <c:pt idx="4">
                  <c:v>0.046979935221499014</c:v>
                </c:pt>
                <c:pt idx="5">
                  <c:v>0.048348106365834004</c:v>
                </c:pt>
                <c:pt idx="6">
                  <c:v>0.050808278016399845</c:v>
                </c:pt>
                <c:pt idx="7">
                  <c:v>0.054512585175914334</c:v>
                </c:pt>
                <c:pt idx="8">
                  <c:v>0.05431544497125834</c:v>
                </c:pt>
                <c:pt idx="9">
                  <c:v>0.05400078833267639</c:v>
                </c:pt>
                <c:pt idx="10">
                  <c:v>0.0539899139721151</c:v>
                </c:pt>
                <c:pt idx="11">
                  <c:v>0.05392935319112408</c:v>
                </c:pt>
                <c:pt idx="12">
                  <c:v>0.04880974823904437</c:v>
                </c:pt>
                <c:pt idx="13">
                  <c:v>0.04505278430025008</c:v>
                </c:pt>
                <c:pt idx="14">
                  <c:v>0.041259352301895036</c:v>
                </c:pt>
                <c:pt idx="15">
                  <c:v>0.042249913360555696</c:v>
                </c:pt>
                <c:pt idx="16">
                  <c:v>0.041994353005991324</c:v>
                </c:pt>
                <c:pt idx="17">
                  <c:v>0.04263395474264275</c:v>
                </c:pt>
                <c:pt idx="18">
                  <c:v>0.04081256791351272</c:v>
                </c:pt>
                <c:pt idx="19">
                  <c:v>0.04400017271902932</c:v>
                </c:pt>
                <c:pt idx="20">
                  <c:v>0.04435528317276956</c:v>
                </c:pt>
                <c:pt idx="21">
                  <c:v>0.04503006622883587</c:v>
                </c:pt>
                <c:pt idx="22">
                  <c:v>0.04462082701626089</c:v>
                </c:pt>
                <c:pt idx="23">
                  <c:v>0.0455430850570448</c:v>
                </c:pt>
                <c:pt idx="24">
                  <c:v>0.043806834052326125</c:v>
                </c:pt>
                <c:pt idx="25">
                  <c:v>0.04563791349493107</c:v>
                </c:pt>
                <c:pt idx="26">
                  <c:v>0.043223126457371405</c:v>
                </c:pt>
                <c:pt idx="27">
                  <c:v>0.03751557683478717</c:v>
                </c:pt>
                <c:pt idx="28">
                  <c:v>0.03713254864848879</c:v>
                </c:pt>
                <c:pt idx="29">
                  <c:v>0.03962904778796939</c:v>
                </c:pt>
                <c:pt idx="30">
                  <c:v>0.04030382248204031</c:v>
                </c:pt>
                <c:pt idx="31">
                  <c:v>0.038226778308161825</c:v>
                </c:pt>
                <c:pt idx="32">
                  <c:v>0.04319250797917017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'Chiffres Inf respi'!$A$40</c:f>
              <c:strCache>
                <c:ptCount val="1"/>
                <c:pt idx="0">
                  <c:v>KETEK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respi'!$B$40:$AH$40</c:f>
              <c:numCache>
                <c:ptCount val="33"/>
                <c:pt idx="0">
                  <c:v>0.04886787758148793</c:v>
                </c:pt>
                <c:pt idx="1">
                  <c:v>0.04605084099940123</c:v>
                </c:pt>
                <c:pt idx="2">
                  <c:v>0.04706693866768422</c:v>
                </c:pt>
                <c:pt idx="3">
                  <c:v>0.043555388316243566</c:v>
                </c:pt>
                <c:pt idx="4">
                  <c:v>0.04035721307573704</c:v>
                </c:pt>
                <c:pt idx="5">
                  <c:v>0.04006345688960516</c:v>
                </c:pt>
                <c:pt idx="6">
                  <c:v>0.03262787973447872</c:v>
                </c:pt>
                <c:pt idx="7">
                  <c:v>0.03305719450900928</c:v>
                </c:pt>
                <c:pt idx="8">
                  <c:v>0.026727646540511057</c:v>
                </c:pt>
                <c:pt idx="9">
                  <c:v>0.02151022017005462</c:v>
                </c:pt>
                <c:pt idx="10">
                  <c:v>0.023468143313886417</c:v>
                </c:pt>
                <c:pt idx="11">
                  <c:v>0.02656766384823383</c:v>
                </c:pt>
                <c:pt idx="12">
                  <c:v>0.03283689523385148</c:v>
                </c:pt>
                <c:pt idx="13">
                  <c:v>0.02951339174923162</c:v>
                </c:pt>
                <c:pt idx="14">
                  <c:v>0.029845448091311233</c:v>
                </c:pt>
                <c:pt idx="15">
                  <c:v>0.03147648680820287</c:v>
                </c:pt>
                <c:pt idx="16">
                  <c:v>0.027257075958955993</c:v>
                </c:pt>
                <c:pt idx="17">
                  <c:v>0.030191112674404972</c:v>
                </c:pt>
                <c:pt idx="18">
                  <c:v>0.025250013812917842</c:v>
                </c:pt>
                <c:pt idx="19">
                  <c:v>0.02666350015112915</c:v>
                </c:pt>
                <c:pt idx="20">
                  <c:v>0.028548753334362117</c:v>
                </c:pt>
                <c:pt idx="21">
                  <c:v>0.020866239920192868</c:v>
                </c:pt>
                <c:pt idx="22">
                  <c:v>0.024168375992151967</c:v>
                </c:pt>
                <c:pt idx="23">
                  <c:v>0.028058621649197663</c:v>
                </c:pt>
                <c:pt idx="24">
                  <c:v>0.036094472548958756</c:v>
                </c:pt>
                <c:pt idx="25">
                  <c:v>0.03702599361560319</c:v>
                </c:pt>
                <c:pt idx="26">
                  <c:v>0.03479160554071375</c:v>
                </c:pt>
                <c:pt idx="27">
                  <c:v>0.03704553901313919</c:v>
                </c:pt>
                <c:pt idx="28">
                  <c:v>0.03217602176613237</c:v>
                </c:pt>
                <c:pt idx="29">
                  <c:v>0.0286491325866991</c:v>
                </c:pt>
                <c:pt idx="30">
                  <c:v>0.02352771659702353</c:v>
                </c:pt>
                <c:pt idx="31">
                  <c:v>0.013205258627435637</c:v>
                </c:pt>
                <c:pt idx="32">
                  <c:v>0.01190576180077272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'Chiffres Inf respi'!$A$41</c:f>
              <c:strCache>
                <c:ptCount val="1"/>
                <c:pt idx="0">
                  <c:v>PYOSTACINE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respi'!$B$41:$AH$41</c:f>
              <c:numCache>
                <c:ptCount val="33"/>
                <c:pt idx="0">
                  <c:v>0.046462635813220535</c:v>
                </c:pt>
                <c:pt idx="1">
                  <c:v>0.04784715040008709</c:v>
                </c:pt>
                <c:pt idx="2">
                  <c:v>0.03927381598837636</c:v>
                </c:pt>
                <c:pt idx="3">
                  <c:v>0.039590920697208744</c:v>
                </c:pt>
                <c:pt idx="4">
                  <c:v>0.03201672237341805</c:v>
                </c:pt>
                <c:pt idx="5">
                  <c:v>0.03974869057211926</c:v>
                </c:pt>
                <c:pt idx="6">
                  <c:v>0.04098399062866068</c:v>
                </c:pt>
                <c:pt idx="7">
                  <c:v>0.04988378330055426</c:v>
                </c:pt>
                <c:pt idx="8">
                  <c:v>0.054021734569714264</c:v>
                </c:pt>
                <c:pt idx="9">
                  <c:v>0.06374232783377443</c:v>
                </c:pt>
                <c:pt idx="10">
                  <c:v>0.07373347836118527</c:v>
                </c:pt>
                <c:pt idx="11">
                  <c:v>0.05403665393364522</c:v>
                </c:pt>
                <c:pt idx="12">
                  <c:v>0.043942484018577865</c:v>
                </c:pt>
                <c:pt idx="13">
                  <c:v>0.0451864154401237</c:v>
                </c:pt>
                <c:pt idx="14">
                  <c:v>0.03784610343509366</c:v>
                </c:pt>
                <c:pt idx="15">
                  <c:v>0.04083354679283379</c:v>
                </c:pt>
                <c:pt idx="16">
                  <c:v>0.0376695819847118</c:v>
                </c:pt>
                <c:pt idx="17">
                  <c:v>0.0430296635009966</c:v>
                </c:pt>
                <c:pt idx="18">
                  <c:v>0.041346667403355616</c:v>
                </c:pt>
                <c:pt idx="19">
                  <c:v>0.04833973833067058</c:v>
                </c:pt>
                <c:pt idx="20">
                  <c:v>0.050814576398227555</c:v>
                </c:pt>
                <c:pt idx="21">
                  <c:v>0.05747221991298806</c:v>
                </c:pt>
                <c:pt idx="22">
                  <c:v>0.06688664942477482</c:v>
                </c:pt>
                <c:pt idx="23">
                  <c:v>0.053357759020499024</c:v>
                </c:pt>
                <c:pt idx="24">
                  <c:v>0.0442258154619658</c:v>
                </c:pt>
                <c:pt idx="25">
                  <c:v>0.04523450380608272</c:v>
                </c:pt>
                <c:pt idx="26">
                  <c:v>0.03823524869898235</c:v>
                </c:pt>
                <c:pt idx="27">
                  <c:v>0.03804027021709189</c:v>
                </c:pt>
                <c:pt idx="28">
                  <c:v>0.036742177796179096</c:v>
                </c:pt>
                <c:pt idx="29">
                  <c:v>0.04520346627476816</c:v>
                </c:pt>
                <c:pt idx="30">
                  <c:v>0.04594388752804594</c:v>
                </c:pt>
                <c:pt idx="31">
                  <c:v>0.05145160028171218</c:v>
                </c:pt>
                <c:pt idx="32">
                  <c:v>0.050604737107340834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'Chiffres Inf respi'!$A$42</c:f>
              <c:strCache>
                <c:ptCount val="1"/>
                <c:pt idx="0">
                  <c:v>OFLOCET + Gé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respi'!$B$42:$AH$42</c:f>
              <c:numCache>
                <c:ptCount val="33"/>
                <c:pt idx="0">
                  <c:v>0.019573691631417433</c:v>
                </c:pt>
                <c:pt idx="1">
                  <c:v>0.020521474062380928</c:v>
                </c:pt>
                <c:pt idx="2">
                  <c:v>0.017699634559783965</c:v>
                </c:pt>
                <c:pt idx="3">
                  <c:v>0.015212804558465819</c:v>
                </c:pt>
                <c:pt idx="4">
                  <c:v>0.011217235634384346</c:v>
                </c:pt>
                <c:pt idx="5">
                  <c:v>0.01658188960515713</c:v>
                </c:pt>
                <c:pt idx="6">
                  <c:v>0.017540023428348303</c:v>
                </c:pt>
                <c:pt idx="7">
                  <c:v>0.02225003476567932</c:v>
                </c:pt>
                <c:pt idx="8">
                  <c:v>0.02148281794150967</c:v>
                </c:pt>
                <c:pt idx="9">
                  <c:v>0.026718846781913396</c:v>
                </c:pt>
                <c:pt idx="10">
                  <c:v>0.03124690991792742</c:v>
                </c:pt>
                <c:pt idx="11">
                  <c:v>0.02566633761105627</c:v>
                </c:pt>
                <c:pt idx="12">
                  <c:v>0.018903494490051242</c:v>
                </c:pt>
                <c:pt idx="13">
                  <c:v>0.023080006872458623</c:v>
                </c:pt>
                <c:pt idx="14">
                  <c:v>0.016014963683032058</c:v>
                </c:pt>
                <c:pt idx="15">
                  <c:v>0.017252550213208373</c:v>
                </c:pt>
                <c:pt idx="16">
                  <c:v>0.014888781764341299</c:v>
                </c:pt>
                <c:pt idx="17">
                  <c:v>0.020606167194278345</c:v>
                </c:pt>
                <c:pt idx="18">
                  <c:v>0.01965117778146122</c:v>
                </c:pt>
                <c:pt idx="19">
                  <c:v>0.02405112483267844</c:v>
                </c:pt>
                <c:pt idx="20">
                  <c:v>0.024426269262141486</c:v>
                </c:pt>
                <c:pt idx="21">
                  <c:v>0.02660237758749688</c:v>
                </c:pt>
                <c:pt idx="22">
                  <c:v>0.03130295193079461</c:v>
                </c:pt>
                <c:pt idx="23">
                  <c:v>0.028197755310268063</c:v>
                </c:pt>
                <c:pt idx="24">
                  <c:v>0.021368051891623475</c:v>
                </c:pt>
                <c:pt idx="25">
                  <c:v>0.022275230645104713</c:v>
                </c:pt>
                <c:pt idx="26">
                  <c:v>0.016754945411306885</c:v>
                </c:pt>
                <c:pt idx="27">
                  <c:v>0.016156183730132705</c:v>
                </c:pt>
                <c:pt idx="28">
                  <c:v>0.014680309930797894</c:v>
                </c:pt>
                <c:pt idx="29">
                  <c:v>0.021959830402540584</c:v>
                </c:pt>
                <c:pt idx="30">
                  <c:v>0.022272081678022273</c:v>
                </c:pt>
                <c:pt idx="31">
                  <c:v>0.02511933641129979</c:v>
                </c:pt>
                <c:pt idx="32">
                  <c:v>0.02568032924575844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'Chiffres Inf respi'!$A$43</c:f>
              <c:strCache>
                <c:ptCount val="1"/>
                <c:pt idx="0">
                  <c:v>TAVANIC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respi'!$B$43:$AH$43</c:f>
              <c:numCache>
                <c:ptCount val="33"/>
                <c:pt idx="0">
                  <c:v>0.015128141328688728</c:v>
                </c:pt>
                <c:pt idx="1">
                  <c:v>0.016965144339810934</c:v>
                </c:pt>
                <c:pt idx="2">
                  <c:v>0.01577703743927675</c:v>
                </c:pt>
                <c:pt idx="3">
                  <c:v>0.01681203047936461</c:v>
                </c:pt>
                <c:pt idx="4">
                  <c:v>0.01505634487825574</c:v>
                </c:pt>
                <c:pt idx="5">
                  <c:v>0.018281627719580983</c:v>
                </c:pt>
                <c:pt idx="6">
                  <c:v>0.01580632565404139</c:v>
                </c:pt>
                <c:pt idx="7">
                  <c:v>0.01750203627550311</c:v>
                </c:pt>
                <c:pt idx="8">
                  <c:v>0.013468719842235556</c:v>
                </c:pt>
                <c:pt idx="9">
                  <c:v>0.013232727067965539</c:v>
                </c:pt>
                <c:pt idx="10">
                  <c:v>0.014107254688684531</c:v>
                </c:pt>
                <c:pt idx="11">
                  <c:v>0.014528520537362118</c:v>
                </c:pt>
                <c:pt idx="12">
                  <c:v>0.014927419493050438</c:v>
                </c:pt>
                <c:pt idx="13">
                  <c:v>0.015424851573983926</c:v>
                </c:pt>
                <c:pt idx="14">
                  <c:v>0.014977336027524438</c:v>
                </c:pt>
                <c:pt idx="15">
                  <c:v>0.018985339099251135</c:v>
                </c:pt>
                <c:pt idx="16">
                  <c:v>0.015508573789683906</c:v>
                </c:pt>
                <c:pt idx="17">
                  <c:v>0.018612967522570054</c:v>
                </c:pt>
                <c:pt idx="18">
                  <c:v>0.01565464021953331</c:v>
                </c:pt>
                <c:pt idx="19">
                  <c:v>0.017056004145256702</c:v>
                </c:pt>
                <c:pt idx="20">
                  <c:v>0.01677652609069465</c:v>
                </c:pt>
                <c:pt idx="21">
                  <c:v>0.014271067143292598</c:v>
                </c:pt>
                <c:pt idx="22">
                  <c:v>0.01643925205862243</c:v>
                </c:pt>
                <c:pt idx="23">
                  <c:v>0.018040998052128745</c:v>
                </c:pt>
                <c:pt idx="24">
                  <c:v>0.018947270413705346</c:v>
                </c:pt>
                <c:pt idx="25">
                  <c:v>0.019521521029922474</c:v>
                </c:pt>
                <c:pt idx="26">
                  <c:v>0.018608026931451426</c:v>
                </c:pt>
                <c:pt idx="27">
                  <c:v>0.021873155374827834</c:v>
                </c:pt>
                <c:pt idx="28">
                  <c:v>0.020476725616608505</c:v>
                </c:pt>
                <c:pt idx="29">
                  <c:v>0.023226743694994847</c:v>
                </c:pt>
                <c:pt idx="30">
                  <c:v>0.02142813033902143</c:v>
                </c:pt>
                <c:pt idx="31">
                  <c:v>0.019035135769622038</c:v>
                </c:pt>
                <c:pt idx="32">
                  <c:v>0.018205106668906432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'Chiffres Inf respi'!$A$44</c:f>
              <c:strCache>
                <c:ptCount val="1"/>
                <c:pt idx="0">
                  <c:v>IZILOX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respi'!$B$44:$AH$44</c:f>
              <c:numCache>
                <c:ptCount val="33"/>
                <c:pt idx="0">
                  <c:v>0.01841254043294352</c:v>
                </c:pt>
                <c:pt idx="1">
                  <c:v>0.02097508754740261</c:v>
                </c:pt>
                <c:pt idx="2">
                  <c:v>0.020326694747347256</c:v>
                </c:pt>
                <c:pt idx="3">
                  <c:v>0.01833062316055422</c:v>
                </c:pt>
                <c:pt idx="4">
                  <c:v>0.018315965934372964</c:v>
                </c:pt>
                <c:pt idx="5">
                  <c:v>0.0215803787268332</c:v>
                </c:pt>
                <c:pt idx="6">
                  <c:v>0.019117532213978914</c:v>
                </c:pt>
                <c:pt idx="7">
                  <c:v>0.01772056340266603</c:v>
                </c:pt>
                <c:pt idx="8">
                  <c:v>0.013741450929383628</c:v>
                </c:pt>
                <c:pt idx="9">
                  <c:v>0.01044540796216003</c:v>
                </c:pt>
                <c:pt idx="10">
                  <c:v>0.011832954283265763</c:v>
                </c:pt>
                <c:pt idx="11">
                  <c:v>0.01478604231941285</c:v>
                </c:pt>
                <c:pt idx="12">
                  <c:v>0.015647226173541962</c:v>
                </c:pt>
                <c:pt idx="13">
                  <c:v>0.01727659736937556</c:v>
                </c:pt>
                <c:pt idx="14">
                  <c:v>0.015960351701163236</c:v>
                </c:pt>
                <c:pt idx="15">
                  <c:v>0.01722241475432067</c:v>
                </c:pt>
                <c:pt idx="16">
                  <c:v>0.016321190000688657</c:v>
                </c:pt>
                <c:pt idx="17">
                  <c:v>0.01855434400281393</c:v>
                </c:pt>
                <c:pt idx="18">
                  <c:v>0.014917951268025857</c:v>
                </c:pt>
                <c:pt idx="19">
                  <c:v>0.01621399887732631</c:v>
                </c:pt>
                <c:pt idx="20">
                  <c:v>0.01410903639690483</c:v>
                </c:pt>
                <c:pt idx="21">
                  <c:v>0.009698783495441572</c:v>
                </c:pt>
                <c:pt idx="22">
                  <c:v>0.010285680311543149</c:v>
                </c:pt>
                <c:pt idx="23">
                  <c:v>0.016000371023096188</c:v>
                </c:pt>
                <c:pt idx="24">
                  <c:v>0.017442040904999845</c:v>
                </c:pt>
                <c:pt idx="25">
                  <c:v>0.01731153751710106</c:v>
                </c:pt>
                <c:pt idx="26">
                  <c:v>0.0178359096313912</c:v>
                </c:pt>
                <c:pt idx="27">
                  <c:v>0.019140377341990773</c:v>
                </c:pt>
                <c:pt idx="28">
                  <c:v>0.019672325072455196</c:v>
                </c:pt>
                <c:pt idx="29">
                  <c:v>0.02103076065474079</c:v>
                </c:pt>
                <c:pt idx="30">
                  <c:v>0.019884316914019883</c:v>
                </c:pt>
                <c:pt idx="31">
                  <c:v>0.0159832537757258</c:v>
                </c:pt>
                <c:pt idx="32">
                  <c:v>0.012976650428355451</c:v>
                </c:pt>
              </c:numCache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Nombres de 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24796"/>
        <c:crossesAt val="1"/>
        <c:crossBetween val="between"/>
        <c:dispUnits/>
        <c:majorUnit val="0.1"/>
        <c:minorUnit val="0.05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295"/>
          <c:w val="0.24725"/>
          <c:h val="0.82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Evolution par ATB (nbre) - Infections respiratoires hautes et basses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25"/>
          <c:w val="0.690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respi'!$A$4</c:f>
              <c:strCache>
                <c:ptCount val="1"/>
                <c:pt idx="0">
                  <c:v>CLAMOXYL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respi'!$B$4:$AH$4</c:f>
              <c:numCache>
                <c:ptCount val="33"/>
                <c:pt idx="0">
                  <c:v>11741</c:v>
                </c:pt>
                <c:pt idx="1">
                  <c:v>10799</c:v>
                </c:pt>
                <c:pt idx="2">
                  <c:v>13112</c:v>
                </c:pt>
                <c:pt idx="3">
                  <c:v>14431</c:v>
                </c:pt>
                <c:pt idx="4">
                  <c:v>18790</c:v>
                </c:pt>
                <c:pt idx="5">
                  <c:v>14523</c:v>
                </c:pt>
                <c:pt idx="6">
                  <c:v>12031</c:v>
                </c:pt>
                <c:pt idx="7">
                  <c:v>9880</c:v>
                </c:pt>
                <c:pt idx="8">
                  <c:v>10188</c:v>
                </c:pt>
                <c:pt idx="9">
                  <c:v>7793</c:v>
                </c:pt>
                <c:pt idx="10">
                  <c:v>6161</c:v>
                </c:pt>
                <c:pt idx="11">
                  <c:v>10036</c:v>
                </c:pt>
                <c:pt idx="12">
                  <c:v>12652</c:v>
                </c:pt>
                <c:pt idx="13">
                  <c:v>12328</c:v>
                </c:pt>
                <c:pt idx="14">
                  <c:v>17404</c:v>
                </c:pt>
                <c:pt idx="15">
                  <c:v>15154</c:v>
                </c:pt>
                <c:pt idx="16">
                  <c:v>17076</c:v>
                </c:pt>
                <c:pt idx="17">
                  <c:v>15652</c:v>
                </c:pt>
                <c:pt idx="18">
                  <c:v>13210</c:v>
                </c:pt>
                <c:pt idx="19">
                  <c:v>11017</c:v>
                </c:pt>
                <c:pt idx="20">
                  <c:v>11528</c:v>
                </c:pt>
                <c:pt idx="21">
                  <c:v>8777</c:v>
                </c:pt>
                <c:pt idx="22">
                  <c:v>7658</c:v>
                </c:pt>
                <c:pt idx="23">
                  <c:v>10420</c:v>
                </c:pt>
                <c:pt idx="24">
                  <c:v>15529</c:v>
                </c:pt>
                <c:pt idx="25">
                  <c:v>13470</c:v>
                </c:pt>
                <c:pt idx="26">
                  <c:v>15248</c:v>
                </c:pt>
                <c:pt idx="27">
                  <c:v>20413</c:v>
                </c:pt>
                <c:pt idx="28">
                  <c:v>19620</c:v>
                </c:pt>
                <c:pt idx="29">
                  <c:v>13338</c:v>
                </c:pt>
                <c:pt idx="30">
                  <c:v>11374</c:v>
                </c:pt>
                <c:pt idx="31">
                  <c:v>12653</c:v>
                </c:pt>
                <c:pt idx="32">
                  <c:v>12193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respi'!$A$5</c:f>
              <c:strCache>
                <c:ptCount val="1"/>
                <c:pt idx="0">
                  <c:v>AUGMENTIN + Gé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respi'!$B$5:$AH$5</c:f>
              <c:numCache>
                <c:ptCount val="33"/>
                <c:pt idx="0">
                  <c:v>8263</c:v>
                </c:pt>
                <c:pt idx="1">
                  <c:v>7642</c:v>
                </c:pt>
                <c:pt idx="2">
                  <c:v>9281</c:v>
                </c:pt>
                <c:pt idx="3">
                  <c:v>10222</c:v>
                </c:pt>
                <c:pt idx="4">
                  <c:v>13326</c:v>
                </c:pt>
                <c:pt idx="5">
                  <c:v>11651</c:v>
                </c:pt>
                <c:pt idx="6">
                  <c:v>9885</c:v>
                </c:pt>
                <c:pt idx="7">
                  <c:v>7980</c:v>
                </c:pt>
                <c:pt idx="8">
                  <c:v>7488</c:v>
                </c:pt>
                <c:pt idx="9">
                  <c:v>6298</c:v>
                </c:pt>
                <c:pt idx="10">
                  <c:v>5674</c:v>
                </c:pt>
                <c:pt idx="11">
                  <c:v>7330</c:v>
                </c:pt>
                <c:pt idx="12">
                  <c:v>8895</c:v>
                </c:pt>
                <c:pt idx="13">
                  <c:v>8301</c:v>
                </c:pt>
                <c:pt idx="14">
                  <c:v>11887</c:v>
                </c:pt>
                <c:pt idx="15">
                  <c:v>10818</c:v>
                </c:pt>
                <c:pt idx="16">
                  <c:v>11582</c:v>
                </c:pt>
                <c:pt idx="17">
                  <c:v>10817</c:v>
                </c:pt>
                <c:pt idx="18">
                  <c:v>8978</c:v>
                </c:pt>
                <c:pt idx="19">
                  <c:v>8045</c:v>
                </c:pt>
                <c:pt idx="20">
                  <c:v>7739</c:v>
                </c:pt>
                <c:pt idx="21">
                  <c:v>6846</c:v>
                </c:pt>
                <c:pt idx="22">
                  <c:v>6643</c:v>
                </c:pt>
                <c:pt idx="23">
                  <c:v>7328</c:v>
                </c:pt>
                <c:pt idx="24">
                  <c:v>10228</c:v>
                </c:pt>
                <c:pt idx="25">
                  <c:v>9162</c:v>
                </c:pt>
                <c:pt idx="26">
                  <c:v>10281</c:v>
                </c:pt>
                <c:pt idx="27">
                  <c:v>14805</c:v>
                </c:pt>
                <c:pt idx="28">
                  <c:v>13415</c:v>
                </c:pt>
                <c:pt idx="29">
                  <c:v>10057</c:v>
                </c:pt>
                <c:pt idx="30">
                  <c:v>8551</c:v>
                </c:pt>
                <c:pt idx="31">
                  <c:v>9176</c:v>
                </c:pt>
                <c:pt idx="32">
                  <c:v>8403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respi'!$A$6</c:f>
              <c:strCache>
                <c:ptCount val="1"/>
                <c:pt idx="0">
                  <c:v>ORACEFAL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respi'!$B$6:$AH$6</c:f>
              <c:numCache>
                <c:ptCount val="33"/>
                <c:pt idx="0">
                  <c:v>546</c:v>
                </c:pt>
                <c:pt idx="1">
                  <c:v>462</c:v>
                </c:pt>
                <c:pt idx="2">
                  <c:v>633</c:v>
                </c:pt>
                <c:pt idx="3">
                  <c:v>633</c:v>
                </c:pt>
                <c:pt idx="4">
                  <c:v>886</c:v>
                </c:pt>
                <c:pt idx="5">
                  <c:v>584</c:v>
                </c:pt>
                <c:pt idx="6">
                  <c:v>579</c:v>
                </c:pt>
                <c:pt idx="7">
                  <c:v>337</c:v>
                </c:pt>
                <c:pt idx="8">
                  <c:v>400</c:v>
                </c:pt>
                <c:pt idx="9">
                  <c:v>247</c:v>
                </c:pt>
                <c:pt idx="10">
                  <c:v>181</c:v>
                </c:pt>
                <c:pt idx="11">
                  <c:v>354</c:v>
                </c:pt>
                <c:pt idx="12">
                  <c:v>426</c:v>
                </c:pt>
                <c:pt idx="13">
                  <c:v>394</c:v>
                </c:pt>
                <c:pt idx="14">
                  <c:v>556</c:v>
                </c:pt>
                <c:pt idx="15">
                  <c:v>460</c:v>
                </c:pt>
                <c:pt idx="16">
                  <c:v>535</c:v>
                </c:pt>
                <c:pt idx="17">
                  <c:v>476</c:v>
                </c:pt>
                <c:pt idx="18">
                  <c:v>332</c:v>
                </c:pt>
                <c:pt idx="19">
                  <c:v>281</c:v>
                </c:pt>
                <c:pt idx="20">
                  <c:v>249</c:v>
                </c:pt>
                <c:pt idx="21">
                  <c:v>203</c:v>
                </c:pt>
                <c:pt idx="22">
                  <c:v>173</c:v>
                </c:pt>
                <c:pt idx="23">
                  <c:v>292</c:v>
                </c:pt>
                <c:pt idx="24">
                  <c:v>465</c:v>
                </c:pt>
                <c:pt idx="25">
                  <c:v>354</c:v>
                </c:pt>
                <c:pt idx="26">
                  <c:v>467</c:v>
                </c:pt>
                <c:pt idx="27">
                  <c:v>639</c:v>
                </c:pt>
                <c:pt idx="28">
                  <c:v>520</c:v>
                </c:pt>
                <c:pt idx="29">
                  <c:v>413</c:v>
                </c:pt>
                <c:pt idx="30">
                  <c:v>338</c:v>
                </c:pt>
                <c:pt idx="31">
                  <c:v>346</c:v>
                </c:pt>
                <c:pt idx="32">
                  <c:v>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respi'!$A$7</c:f>
              <c:strCache>
                <c:ptCount val="1"/>
                <c:pt idx="0">
                  <c:v>CEFAPEROS + Gé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respi'!$B$7:$AH$7</c:f>
              <c:numCache>
                <c:ptCount val="33"/>
                <c:pt idx="0">
                  <c:v>677</c:v>
                </c:pt>
                <c:pt idx="1">
                  <c:v>592</c:v>
                </c:pt>
                <c:pt idx="2">
                  <c:v>745</c:v>
                </c:pt>
                <c:pt idx="3">
                  <c:v>768</c:v>
                </c:pt>
                <c:pt idx="4">
                  <c:v>1026</c:v>
                </c:pt>
                <c:pt idx="5">
                  <c:v>792</c:v>
                </c:pt>
                <c:pt idx="6">
                  <c:v>671</c:v>
                </c:pt>
                <c:pt idx="7">
                  <c:v>430</c:v>
                </c:pt>
                <c:pt idx="8">
                  <c:v>431</c:v>
                </c:pt>
                <c:pt idx="9">
                  <c:v>307</c:v>
                </c:pt>
                <c:pt idx="10">
                  <c:v>164</c:v>
                </c:pt>
                <c:pt idx="11">
                  <c:v>331</c:v>
                </c:pt>
                <c:pt idx="12">
                  <c:v>544</c:v>
                </c:pt>
                <c:pt idx="13">
                  <c:v>436</c:v>
                </c:pt>
                <c:pt idx="14">
                  <c:v>690</c:v>
                </c:pt>
                <c:pt idx="15">
                  <c:v>557</c:v>
                </c:pt>
                <c:pt idx="16">
                  <c:v>689</c:v>
                </c:pt>
                <c:pt idx="17">
                  <c:v>583</c:v>
                </c:pt>
                <c:pt idx="18">
                  <c:v>427</c:v>
                </c:pt>
                <c:pt idx="19">
                  <c:v>297</c:v>
                </c:pt>
                <c:pt idx="20">
                  <c:v>316</c:v>
                </c:pt>
                <c:pt idx="21">
                  <c:v>223</c:v>
                </c:pt>
                <c:pt idx="22">
                  <c:v>164</c:v>
                </c:pt>
                <c:pt idx="23">
                  <c:v>272</c:v>
                </c:pt>
                <c:pt idx="24">
                  <c:v>383</c:v>
                </c:pt>
                <c:pt idx="25">
                  <c:v>245</c:v>
                </c:pt>
                <c:pt idx="26">
                  <c:v>235</c:v>
                </c:pt>
                <c:pt idx="27">
                  <c:v>310</c:v>
                </c:pt>
                <c:pt idx="28">
                  <c:v>259</c:v>
                </c:pt>
                <c:pt idx="29">
                  <c:v>94</c:v>
                </c:pt>
                <c:pt idx="30">
                  <c:v>85</c:v>
                </c:pt>
                <c:pt idx="31">
                  <c:v>80</c:v>
                </c:pt>
                <c:pt idx="32">
                  <c:v>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respi'!$A$8</c:f>
              <c:strCache>
                <c:ptCount val="1"/>
                <c:pt idx="0">
                  <c:v>ZINNAT + Gé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respi'!$B$8:$AH$8</c:f>
              <c:numCache>
                <c:ptCount val="33"/>
                <c:pt idx="0">
                  <c:v>3826</c:v>
                </c:pt>
                <c:pt idx="1">
                  <c:v>3427</c:v>
                </c:pt>
                <c:pt idx="2">
                  <c:v>4291</c:v>
                </c:pt>
                <c:pt idx="3">
                  <c:v>4865</c:v>
                </c:pt>
                <c:pt idx="4">
                  <c:v>6658</c:v>
                </c:pt>
                <c:pt idx="5">
                  <c:v>5511</c:v>
                </c:pt>
                <c:pt idx="6">
                  <c:v>3920</c:v>
                </c:pt>
                <c:pt idx="7">
                  <c:v>2795</c:v>
                </c:pt>
                <c:pt idx="8">
                  <c:v>2437</c:v>
                </c:pt>
                <c:pt idx="9">
                  <c:v>1501</c:v>
                </c:pt>
                <c:pt idx="10">
                  <c:v>1417</c:v>
                </c:pt>
                <c:pt idx="11">
                  <c:v>2357</c:v>
                </c:pt>
                <c:pt idx="12">
                  <c:v>2925</c:v>
                </c:pt>
                <c:pt idx="13">
                  <c:v>2581</c:v>
                </c:pt>
                <c:pt idx="14">
                  <c:v>3589</c:v>
                </c:pt>
                <c:pt idx="15">
                  <c:v>3681</c:v>
                </c:pt>
                <c:pt idx="16">
                  <c:v>3704</c:v>
                </c:pt>
                <c:pt idx="17">
                  <c:v>3326</c:v>
                </c:pt>
                <c:pt idx="18">
                  <c:v>2486</c:v>
                </c:pt>
                <c:pt idx="19">
                  <c:v>1944</c:v>
                </c:pt>
                <c:pt idx="20">
                  <c:v>1677</c:v>
                </c:pt>
                <c:pt idx="21">
                  <c:v>1184</c:v>
                </c:pt>
                <c:pt idx="22">
                  <c:v>1279</c:v>
                </c:pt>
                <c:pt idx="23">
                  <c:v>1673</c:v>
                </c:pt>
                <c:pt idx="24">
                  <c:v>2455</c:v>
                </c:pt>
                <c:pt idx="25">
                  <c:v>2276</c:v>
                </c:pt>
                <c:pt idx="26">
                  <c:v>2544</c:v>
                </c:pt>
                <c:pt idx="27">
                  <c:v>4081</c:v>
                </c:pt>
                <c:pt idx="28">
                  <c:v>3625</c:v>
                </c:pt>
                <c:pt idx="29">
                  <c:v>2440</c:v>
                </c:pt>
                <c:pt idx="30">
                  <c:v>1956</c:v>
                </c:pt>
                <c:pt idx="31">
                  <c:v>1969</c:v>
                </c:pt>
                <c:pt idx="32">
                  <c:v>1679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respi'!$A$9</c:f>
              <c:strCache>
                <c:ptCount val="1"/>
                <c:pt idx="0">
                  <c:v>ALFATIL + Gé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respi'!$B$9:$AH$9</c:f>
              <c:numCache>
                <c:ptCount val="33"/>
                <c:pt idx="0">
                  <c:v>1462</c:v>
                </c:pt>
                <c:pt idx="1">
                  <c:v>1201</c:v>
                </c:pt>
                <c:pt idx="2">
                  <c:v>1641</c:v>
                </c:pt>
                <c:pt idx="3">
                  <c:v>1740</c:v>
                </c:pt>
                <c:pt idx="4">
                  <c:v>2337</c:v>
                </c:pt>
                <c:pt idx="5">
                  <c:v>1705</c:v>
                </c:pt>
                <c:pt idx="6">
                  <c:v>1436</c:v>
                </c:pt>
                <c:pt idx="7">
                  <c:v>1057</c:v>
                </c:pt>
                <c:pt idx="8">
                  <c:v>1061</c:v>
                </c:pt>
                <c:pt idx="9">
                  <c:v>702</c:v>
                </c:pt>
                <c:pt idx="10">
                  <c:v>490</c:v>
                </c:pt>
                <c:pt idx="11">
                  <c:v>1040</c:v>
                </c:pt>
                <c:pt idx="12">
                  <c:v>1396</c:v>
                </c:pt>
                <c:pt idx="13">
                  <c:v>1259</c:v>
                </c:pt>
                <c:pt idx="14">
                  <c:v>1802</c:v>
                </c:pt>
                <c:pt idx="15">
                  <c:v>1542</c:v>
                </c:pt>
                <c:pt idx="16">
                  <c:v>1900</c:v>
                </c:pt>
                <c:pt idx="17">
                  <c:v>1623</c:v>
                </c:pt>
                <c:pt idx="18">
                  <c:v>1166</c:v>
                </c:pt>
                <c:pt idx="19">
                  <c:v>886</c:v>
                </c:pt>
                <c:pt idx="20">
                  <c:v>927</c:v>
                </c:pt>
                <c:pt idx="21">
                  <c:v>621</c:v>
                </c:pt>
                <c:pt idx="22">
                  <c:v>550</c:v>
                </c:pt>
                <c:pt idx="23">
                  <c:v>992</c:v>
                </c:pt>
                <c:pt idx="24">
                  <c:v>1572</c:v>
                </c:pt>
                <c:pt idx="25">
                  <c:v>1293</c:v>
                </c:pt>
                <c:pt idx="26">
                  <c:v>1577</c:v>
                </c:pt>
                <c:pt idx="27">
                  <c:v>2267</c:v>
                </c:pt>
                <c:pt idx="28">
                  <c:v>2079</c:v>
                </c:pt>
                <c:pt idx="29">
                  <c:v>1380</c:v>
                </c:pt>
                <c:pt idx="30">
                  <c:v>1125</c:v>
                </c:pt>
                <c:pt idx="31">
                  <c:v>1148</c:v>
                </c:pt>
                <c:pt idx="32">
                  <c:v>1007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respi'!$A$10</c:f>
              <c:strCache>
                <c:ptCount val="1"/>
                <c:pt idx="0">
                  <c:v>TEXODIL / TAKETIAM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respi'!$B$10:$AH$10</c:f>
              <c:numCache>
                <c:ptCount val="33"/>
                <c:pt idx="0">
                  <c:v>1067</c:v>
                </c:pt>
                <c:pt idx="1">
                  <c:v>957</c:v>
                </c:pt>
                <c:pt idx="2">
                  <c:v>1090</c:v>
                </c:pt>
                <c:pt idx="3">
                  <c:v>1262</c:v>
                </c:pt>
                <c:pt idx="4">
                  <c:v>1510</c:v>
                </c:pt>
                <c:pt idx="5">
                  <c:v>1177</c:v>
                </c:pt>
                <c:pt idx="6">
                  <c:v>780</c:v>
                </c:pt>
                <c:pt idx="7">
                  <c:v>604</c:v>
                </c:pt>
                <c:pt idx="8">
                  <c:v>414</c:v>
                </c:pt>
                <c:pt idx="9">
                  <c:v>288</c:v>
                </c:pt>
                <c:pt idx="10">
                  <c:v>268</c:v>
                </c:pt>
                <c:pt idx="11">
                  <c:v>487</c:v>
                </c:pt>
                <c:pt idx="12">
                  <c:v>571</c:v>
                </c:pt>
                <c:pt idx="13">
                  <c:v>480</c:v>
                </c:pt>
                <c:pt idx="14">
                  <c:v>704</c:v>
                </c:pt>
                <c:pt idx="15">
                  <c:v>731</c:v>
                </c:pt>
                <c:pt idx="16">
                  <c:v>824</c:v>
                </c:pt>
                <c:pt idx="17">
                  <c:v>778</c:v>
                </c:pt>
                <c:pt idx="18">
                  <c:v>464</c:v>
                </c:pt>
                <c:pt idx="19">
                  <c:v>398</c:v>
                </c:pt>
                <c:pt idx="20">
                  <c:v>323</c:v>
                </c:pt>
                <c:pt idx="21">
                  <c:v>267</c:v>
                </c:pt>
                <c:pt idx="22">
                  <c:v>293</c:v>
                </c:pt>
                <c:pt idx="23">
                  <c:v>399</c:v>
                </c:pt>
                <c:pt idx="24">
                  <c:v>636</c:v>
                </c:pt>
                <c:pt idx="25">
                  <c:v>610</c:v>
                </c:pt>
                <c:pt idx="26">
                  <c:v>581</c:v>
                </c:pt>
                <c:pt idx="27">
                  <c:v>1011</c:v>
                </c:pt>
                <c:pt idx="28">
                  <c:v>897</c:v>
                </c:pt>
                <c:pt idx="29">
                  <c:v>581</c:v>
                </c:pt>
                <c:pt idx="30">
                  <c:v>419</c:v>
                </c:pt>
                <c:pt idx="31">
                  <c:v>391</c:v>
                </c:pt>
                <c:pt idx="32">
                  <c:v>299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'Chiffres Inf respi'!$A$11</c:f>
              <c:strCache>
                <c:ptCount val="1"/>
                <c:pt idx="0">
                  <c:v>ROCEPHINE + Gé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respi'!$B$11:$AH$11</c:f>
              <c:numCache>
                <c:ptCount val="33"/>
                <c:pt idx="0">
                  <c:v>1163</c:v>
                </c:pt>
                <c:pt idx="1">
                  <c:v>1137</c:v>
                </c:pt>
                <c:pt idx="2">
                  <c:v>1272</c:v>
                </c:pt>
                <c:pt idx="3">
                  <c:v>1607</c:v>
                </c:pt>
                <c:pt idx="4">
                  <c:v>2177</c:v>
                </c:pt>
                <c:pt idx="5">
                  <c:v>2087</c:v>
                </c:pt>
                <c:pt idx="6">
                  <c:v>1191</c:v>
                </c:pt>
                <c:pt idx="7">
                  <c:v>1074</c:v>
                </c:pt>
                <c:pt idx="8">
                  <c:v>823</c:v>
                </c:pt>
                <c:pt idx="9">
                  <c:v>589</c:v>
                </c:pt>
                <c:pt idx="10">
                  <c:v>670</c:v>
                </c:pt>
                <c:pt idx="11">
                  <c:v>802</c:v>
                </c:pt>
                <c:pt idx="12">
                  <c:v>983</c:v>
                </c:pt>
                <c:pt idx="13">
                  <c:v>992</c:v>
                </c:pt>
                <c:pt idx="14">
                  <c:v>1265</c:v>
                </c:pt>
                <c:pt idx="15">
                  <c:v>1508</c:v>
                </c:pt>
                <c:pt idx="16">
                  <c:v>1311</c:v>
                </c:pt>
                <c:pt idx="17">
                  <c:v>1548</c:v>
                </c:pt>
                <c:pt idx="18">
                  <c:v>932</c:v>
                </c:pt>
                <c:pt idx="19">
                  <c:v>908</c:v>
                </c:pt>
                <c:pt idx="20">
                  <c:v>844</c:v>
                </c:pt>
                <c:pt idx="21">
                  <c:v>619</c:v>
                </c:pt>
                <c:pt idx="22">
                  <c:v>674</c:v>
                </c:pt>
                <c:pt idx="23">
                  <c:v>783</c:v>
                </c:pt>
                <c:pt idx="24">
                  <c:v>1078</c:v>
                </c:pt>
                <c:pt idx="25">
                  <c:v>1004</c:v>
                </c:pt>
                <c:pt idx="26">
                  <c:v>1093</c:v>
                </c:pt>
                <c:pt idx="27">
                  <c:v>1956</c:v>
                </c:pt>
                <c:pt idx="28">
                  <c:v>1684</c:v>
                </c:pt>
                <c:pt idx="29">
                  <c:v>1208</c:v>
                </c:pt>
                <c:pt idx="30">
                  <c:v>929</c:v>
                </c:pt>
                <c:pt idx="31">
                  <c:v>954</c:v>
                </c:pt>
                <c:pt idx="32">
                  <c:v>859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'Chiffres Inf respi'!$A$12</c:f>
              <c:strCache>
                <c:ptCount val="1"/>
                <c:pt idx="0">
                  <c:v>OROKEN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respi'!$B$12:$AH$12</c:f>
              <c:numCache>
                <c:ptCount val="33"/>
                <c:pt idx="0">
                  <c:v>2492</c:v>
                </c:pt>
                <c:pt idx="1">
                  <c:v>2287</c:v>
                </c:pt>
                <c:pt idx="2">
                  <c:v>3013</c:v>
                </c:pt>
                <c:pt idx="3">
                  <c:v>3182</c:v>
                </c:pt>
                <c:pt idx="4">
                  <c:v>4034</c:v>
                </c:pt>
                <c:pt idx="5">
                  <c:v>3500</c:v>
                </c:pt>
                <c:pt idx="6">
                  <c:v>3123</c:v>
                </c:pt>
                <c:pt idx="7">
                  <c:v>2259</c:v>
                </c:pt>
                <c:pt idx="8">
                  <c:v>2194</c:v>
                </c:pt>
                <c:pt idx="9">
                  <c:v>1740</c:v>
                </c:pt>
                <c:pt idx="10">
                  <c:v>1351</c:v>
                </c:pt>
                <c:pt idx="11">
                  <c:v>1953</c:v>
                </c:pt>
                <c:pt idx="12">
                  <c:v>2295</c:v>
                </c:pt>
                <c:pt idx="13">
                  <c:v>2140</c:v>
                </c:pt>
                <c:pt idx="14">
                  <c:v>2805</c:v>
                </c:pt>
                <c:pt idx="15">
                  <c:v>2429</c:v>
                </c:pt>
                <c:pt idx="16">
                  <c:v>2665</c:v>
                </c:pt>
                <c:pt idx="17">
                  <c:v>2649</c:v>
                </c:pt>
                <c:pt idx="18">
                  <c:v>2139</c:v>
                </c:pt>
                <c:pt idx="19">
                  <c:v>1838</c:v>
                </c:pt>
                <c:pt idx="20">
                  <c:v>1835</c:v>
                </c:pt>
                <c:pt idx="21">
                  <c:v>1696</c:v>
                </c:pt>
                <c:pt idx="22">
                  <c:v>1566</c:v>
                </c:pt>
                <c:pt idx="23">
                  <c:v>1922</c:v>
                </c:pt>
                <c:pt idx="24">
                  <c:v>2468</c:v>
                </c:pt>
                <c:pt idx="25">
                  <c:v>2178</c:v>
                </c:pt>
                <c:pt idx="26">
                  <c:v>2542</c:v>
                </c:pt>
                <c:pt idx="27">
                  <c:v>3276</c:v>
                </c:pt>
                <c:pt idx="28">
                  <c:v>2980</c:v>
                </c:pt>
                <c:pt idx="29">
                  <c:v>2353</c:v>
                </c:pt>
                <c:pt idx="30">
                  <c:v>1895</c:v>
                </c:pt>
                <c:pt idx="31">
                  <c:v>2078</c:v>
                </c:pt>
                <c:pt idx="32">
                  <c:v>2021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'Chiffres Inf respi'!$A$13</c:f>
              <c:strCache>
                <c:ptCount val="1"/>
                <c:pt idx="0">
                  <c:v>ORELOX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respi'!$B$13:$AH$13</c:f>
              <c:numCache>
                <c:ptCount val="33"/>
                <c:pt idx="0">
                  <c:v>8193</c:v>
                </c:pt>
                <c:pt idx="1">
                  <c:v>7282</c:v>
                </c:pt>
                <c:pt idx="2">
                  <c:v>9981</c:v>
                </c:pt>
                <c:pt idx="3">
                  <c:v>10951</c:v>
                </c:pt>
                <c:pt idx="4">
                  <c:v>14165</c:v>
                </c:pt>
                <c:pt idx="5">
                  <c:v>11295</c:v>
                </c:pt>
                <c:pt idx="6">
                  <c:v>9989</c:v>
                </c:pt>
                <c:pt idx="7">
                  <c:v>7037</c:v>
                </c:pt>
                <c:pt idx="8">
                  <c:v>6856</c:v>
                </c:pt>
                <c:pt idx="9">
                  <c:v>4816</c:v>
                </c:pt>
                <c:pt idx="10">
                  <c:v>3795</c:v>
                </c:pt>
                <c:pt idx="11">
                  <c:v>5987</c:v>
                </c:pt>
                <c:pt idx="12">
                  <c:v>7842</c:v>
                </c:pt>
                <c:pt idx="13">
                  <c:v>6532</c:v>
                </c:pt>
                <c:pt idx="14">
                  <c:v>10146</c:v>
                </c:pt>
                <c:pt idx="15">
                  <c:v>8816</c:v>
                </c:pt>
                <c:pt idx="16">
                  <c:v>10881</c:v>
                </c:pt>
                <c:pt idx="17">
                  <c:v>9478</c:v>
                </c:pt>
                <c:pt idx="18">
                  <c:v>8186</c:v>
                </c:pt>
                <c:pt idx="19">
                  <c:v>6356</c:v>
                </c:pt>
                <c:pt idx="20">
                  <c:v>6121</c:v>
                </c:pt>
                <c:pt idx="21">
                  <c:v>5296</c:v>
                </c:pt>
                <c:pt idx="22">
                  <c:v>4319</c:v>
                </c:pt>
                <c:pt idx="23">
                  <c:v>5484</c:v>
                </c:pt>
                <c:pt idx="24">
                  <c:v>9115</c:v>
                </c:pt>
                <c:pt idx="25">
                  <c:v>8075</c:v>
                </c:pt>
                <c:pt idx="26">
                  <c:v>10274</c:v>
                </c:pt>
                <c:pt idx="27">
                  <c:v>14313</c:v>
                </c:pt>
                <c:pt idx="28">
                  <c:v>13672</c:v>
                </c:pt>
                <c:pt idx="29">
                  <c:v>9165</c:v>
                </c:pt>
                <c:pt idx="30">
                  <c:v>7303</c:v>
                </c:pt>
                <c:pt idx="31">
                  <c:v>7657</c:v>
                </c:pt>
                <c:pt idx="32">
                  <c:v>7070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'Chiffres Inf respi'!$A$14</c:f>
              <c:strCache>
                <c:ptCount val="1"/>
                <c:pt idx="0">
                  <c:v>RULID / CLARAMID + Gé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respi'!$B$14:$AH$14</c:f>
              <c:numCache>
                <c:ptCount val="33"/>
                <c:pt idx="0">
                  <c:v>1844</c:v>
                </c:pt>
                <c:pt idx="1">
                  <c:v>1716</c:v>
                </c:pt>
                <c:pt idx="2">
                  <c:v>2060</c:v>
                </c:pt>
                <c:pt idx="3">
                  <c:v>2523</c:v>
                </c:pt>
                <c:pt idx="4">
                  <c:v>3520</c:v>
                </c:pt>
                <c:pt idx="5">
                  <c:v>2586</c:v>
                </c:pt>
                <c:pt idx="6">
                  <c:v>1827</c:v>
                </c:pt>
                <c:pt idx="7">
                  <c:v>1519</c:v>
                </c:pt>
                <c:pt idx="8">
                  <c:v>1361</c:v>
                </c:pt>
                <c:pt idx="9">
                  <c:v>882</c:v>
                </c:pt>
                <c:pt idx="10">
                  <c:v>836</c:v>
                </c:pt>
                <c:pt idx="11">
                  <c:v>1421</c:v>
                </c:pt>
                <c:pt idx="12">
                  <c:v>1713</c:v>
                </c:pt>
                <c:pt idx="13">
                  <c:v>1335</c:v>
                </c:pt>
                <c:pt idx="14">
                  <c:v>1919</c:v>
                </c:pt>
                <c:pt idx="15">
                  <c:v>1901</c:v>
                </c:pt>
                <c:pt idx="16">
                  <c:v>1933</c:v>
                </c:pt>
                <c:pt idx="17">
                  <c:v>1839</c:v>
                </c:pt>
                <c:pt idx="18">
                  <c:v>1345</c:v>
                </c:pt>
                <c:pt idx="19">
                  <c:v>1126</c:v>
                </c:pt>
                <c:pt idx="20">
                  <c:v>988</c:v>
                </c:pt>
                <c:pt idx="21">
                  <c:v>720</c:v>
                </c:pt>
                <c:pt idx="22">
                  <c:v>798</c:v>
                </c:pt>
                <c:pt idx="23">
                  <c:v>1065</c:v>
                </c:pt>
                <c:pt idx="24">
                  <c:v>1549</c:v>
                </c:pt>
                <c:pt idx="25">
                  <c:v>1323</c:v>
                </c:pt>
                <c:pt idx="26">
                  <c:v>1473</c:v>
                </c:pt>
                <c:pt idx="27">
                  <c:v>2467</c:v>
                </c:pt>
                <c:pt idx="28">
                  <c:v>2334</c:v>
                </c:pt>
                <c:pt idx="29">
                  <c:v>1451</c:v>
                </c:pt>
                <c:pt idx="30">
                  <c:v>1110</c:v>
                </c:pt>
                <c:pt idx="31">
                  <c:v>1198</c:v>
                </c:pt>
                <c:pt idx="32">
                  <c:v>991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'Chiffres Inf respi'!$A$15</c:f>
              <c:strCache>
                <c:ptCount val="1"/>
                <c:pt idx="0">
                  <c:v>JOSACINE + Gé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respi'!$B$15:$AH$15</c:f>
              <c:numCache>
                <c:ptCount val="33"/>
                <c:pt idx="0">
                  <c:v>1559</c:v>
                </c:pt>
                <c:pt idx="1">
                  <c:v>1264</c:v>
                </c:pt>
                <c:pt idx="2">
                  <c:v>1739</c:v>
                </c:pt>
                <c:pt idx="3">
                  <c:v>1916</c:v>
                </c:pt>
                <c:pt idx="4">
                  <c:v>2672</c:v>
                </c:pt>
                <c:pt idx="5">
                  <c:v>1946</c:v>
                </c:pt>
                <c:pt idx="6">
                  <c:v>1780</c:v>
                </c:pt>
                <c:pt idx="7">
                  <c:v>1252</c:v>
                </c:pt>
                <c:pt idx="8">
                  <c:v>1385</c:v>
                </c:pt>
                <c:pt idx="9">
                  <c:v>928</c:v>
                </c:pt>
                <c:pt idx="10">
                  <c:v>662</c:v>
                </c:pt>
                <c:pt idx="11">
                  <c:v>1108</c:v>
                </c:pt>
                <c:pt idx="12">
                  <c:v>1512</c:v>
                </c:pt>
                <c:pt idx="13">
                  <c:v>1352</c:v>
                </c:pt>
                <c:pt idx="14">
                  <c:v>2012</c:v>
                </c:pt>
                <c:pt idx="15">
                  <c:v>1464</c:v>
                </c:pt>
                <c:pt idx="16">
                  <c:v>1828</c:v>
                </c:pt>
                <c:pt idx="17">
                  <c:v>1684</c:v>
                </c:pt>
                <c:pt idx="18">
                  <c:v>1282</c:v>
                </c:pt>
                <c:pt idx="19">
                  <c:v>944</c:v>
                </c:pt>
                <c:pt idx="20">
                  <c:v>961</c:v>
                </c:pt>
                <c:pt idx="21">
                  <c:v>835</c:v>
                </c:pt>
                <c:pt idx="22">
                  <c:v>573</c:v>
                </c:pt>
                <c:pt idx="23">
                  <c:v>863</c:v>
                </c:pt>
                <c:pt idx="24">
                  <c:v>1290</c:v>
                </c:pt>
                <c:pt idx="25">
                  <c:v>1160</c:v>
                </c:pt>
                <c:pt idx="26">
                  <c:v>1438</c:v>
                </c:pt>
                <c:pt idx="27">
                  <c:v>1821</c:v>
                </c:pt>
                <c:pt idx="28">
                  <c:v>1777</c:v>
                </c:pt>
                <c:pt idx="29">
                  <c:v>1117</c:v>
                </c:pt>
                <c:pt idx="30">
                  <c:v>907</c:v>
                </c:pt>
                <c:pt idx="31">
                  <c:v>1076</c:v>
                </c:pt>
                <c:pt idx="32">
                  <c:v>1086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'Chiffres Inf respi'!$A$16</c:f>
              <c:strCache>
                <c:ptCount val="1"/>
                <c:pt idx="0">
                  <c:v>NAXY / ZECLAR / MONONAXY / MONOZECLAR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respi'!$B$16:$AH$16</c:f>
              <c:numCache>
                <c:ptCount val="33"/>
                <c:pt idx="0">
                  <c:v>5111</c:v>
                </c:pt>
                <c:pt idx="1">
                  <c:v>4729</c:v>
                </c:pt>
                <c:pt idx="2">
                  <c:v>6105</c:v>
                </c:pt>
                <c:pt idx="3">
                  <c:v>6588</c:v>
                </c:pt>
                <c:pt idx="4">
                  <c:v>9693</c:v>
                </c:pt>
                <c:pt idx="5">
                  <c:v>7405</c:v>
                </c:pt>
                <c:pt idx="6">
                  <c:v>5488</c:v>
                </c:pt>
                <c:pt idx="7">
                  <c:v>4301</c:v>
                </c:pt>
                <c:pt idx="8">
                  <c:v>3869</c:v>
                </c:pt>
                <c:pt idx="9">
                  <c:v>2691</c:v>
                </c:pt>
                <c:pt idx="10">
                  <c:v>2348</c:v>
                </c:pt>
                <c:pt idx="11">
                  <c:v>4561</c:v>
                </c:pt>
                <c:pt idx="12">
                  <c:v>6380</c:v>
                </c:pt>
                <c:pt idx="13">
                  <c:v>5058</c:v>
                </c:pt>
                <c:pt idx="14">
                  <c:v>7046</c:v>
                </c:pt>
                <c:pt idx="15">
                  <c:v>6155</c:v>
                </c:pt>
                <c:pt idx="16">
                  <c:v>6522</c:v>
                </c:pt>
                <c:pt idx="17">
                  <c:v>5932</c:v>
                </c:pt>
                <c:pt idx="18">
                  <c:v>4791</c:v>
                </c:pt>
                <c:pt idx="19">
                  <c:v>4111</c:v>
                </c:pt>
                <c:pt idx="20">
                  <c:v>3732</c:v>
                </c:pt>
                <c:pt idx="21">
                  <c:v>2523</c:v>
                </c:pt>
                <c:pt idx="22">
                  <c:v>2433</c:v>
                </c:pt>
                <c:pt idx="23">
                  <c:v>3472</c:v>
                </c:pt>
                <c:pt idx="24">
                  <c:v>5953</c:v>
                </c:pt>
                <c:pt idx="25">
                  <c:v>5202</c:v>
                </c:pt>
                <c:pt idx="26">
                  <c:v>6031</c:v>
                </c:pt>
                <c:pt idx="27">
                  <c:v>8592</c:v>
                </c:pt>
                <c:pt idx="28">
                  <c:v>8073</c:v>
                </c:pt>
                <c:pt idx="29">
                  <c:v>4964</c:v>
                </c:pt>
                <c:pt idx="30">
                  <c:v>4167</c:v>
                </c:pt>
                <c:pt idx="31">
                  <c:v>4057</c:v>
                </c:pt>
                <c:pt idx="32">
                  <c:v>3897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'Chiffres Inf respi'!$A$17</c:f>
              <c:strCache>
                <c:ptCount val="1"/>
                <c:pt idx="0">
                  <c:v>ZITHROMAX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respi'!$B$17:$AH$17</c:f>
              <c:numCache>
                <c:ptCount val="33"/>
                <c:pt idx="0">
                  <c:v>3392</c:v>
                </c:pt>
                <c:pt idx="1">
                  <c:v>3221</c:v>
                </c:pt>
                <c:pt idx="2">
                  <c:v>3625</c:v>
                </c:pt>
                <c:pt idx="3">
                  <c:v>3789</c:v>
                </c:pt>
                <c:pt idx="4">
                  <c:v>4540</c:v>
                </c:pt>
                <c:pt idx="5">
                  <c:v>3840</c:v>
                </c:pt>
                <c:pt idx="6">
                  <c:v>3253</c:v>
                </c:pt>
                <c:pt idx="7">
                  <c:v>2744</c:v>
                </c:pt>
                <c:pt idx="8">
                  <c:v>2589</c:v>
                </c:pt>
                <c:pt idx="9">
                  <c:v>1918</c:v>
                </c:pt>
                <c:pt idx="10">
                  <c:v>1638</c:v>
                </c:pt>
                <c:pt idx="11">
                  <c:v>2513</c:v>
                </c:pt>
                <c:pt idx="12">
                  <c:v>2848</c:v>
                </c:pt>
                <c:pt idx="13">
                  <c:v>2360</c:v>
                </c:pt>
                <c:pt idx="14">
                  <c:v>3022</c:v>
                </c:pt>
                <c:pt idx="15">
                  <c:v>2804</c:v>
                </c:pt>
                <c:pt idx="16">
                  <c:v>3049</c:v>
                </c:pt>
                <c:pt idx="17">
                  <c:v>2909</c:v>
                </c:pt>
                <c:pt idx="18">
                  <c:v>2216</c:v>
                </c:pt>
                <c:pt idx="19">
                  <c:v>2038</c:v>
                </c:pt>
                <c:pt idx="20">
                  <c:v>2012</c:v>
                </c:pt>
                <c:pt idx="21">
                  <c:v>1625</c:v>
                </c:pt>
                <c:pt idx="22">
                  <c:v>1501</c:v>
                </c:pt>
                <c:pt idx="23">
                  <c:v>1964</c:v>
                </c:pt>
                <c:pt idx="24">
                  <c:v>2823</c:v>
                </c:pt>
                <c:pt idx="25">
                  <c:v>2602</c:v>
                </c:pt>
                <c:pt idx="26">
                  <c:v>2799</c:v>
                </c:pt>
                <c:pt idx="27">
                  <c:v>3432</c:v>
                </c:pt>
                <c:pt idx="28">
                  <c:v>3139</c:v>
                </c:pt>
                <c:pt idx="29">
                  <c:v>2346</c:v>
                </c:pt>
                <c:pt idx="30">
                  <c:v>1958</c:v>
                </c:pt>
                <c:pt idx="31">
                  <c:v>1954</c:v>
                </c:pt>
                <c:pt idx="32">
                  <c:v>2057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'Chiffres Inf respi'!$A$18</c:f>
              <c:strCache>
                <c:ptCount val="1"/>
                <c:pt idx="0">
                  <c:v>KETEK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respi'!$B$18:$AH$18</c:f>
              <c:numCache>
                <c:ptCount val="33"/>
                <c:pt idx="0">
                  <c:v>2946</c:v>
                </c:pt>
                <c:pt idx="1">
                  <c:v>2538</c:v>
                </c:pt>
                <c:pt idx="2">
                  <c:v>3207</c:v>
                </c:pt>
                <c:pt idx="3">
                  <c:v>3241</c:v>
                </c:pt>
                <c:pt idx="4">
                  <c:v>3900</c:v>
                </c:pt>
                <c:pt idx="5">
                  <c:v>3182</c:v>
                </c:pt>
                <c:pt idx="6">
                  <c:v>2089</c:v>
                </c:pt>
                <c:pt idx="7">
                  <c:v>1664</c:v>
                </c:pt>
                <c:pt idx="8">
                  <c:v>1274</c:v>
                </c:pt>
                <c:pt idx="9">
                  <c:v>764</c:v>
                </c:pt>
                <c:pt idx="10">
                  <c:v>712</c:v>
                </c:pt>
                <c:pt idx="11">
                  <c:v>1238</c:v>
                </c:pt>
                <c:pt idx="12">
                  <c:v>1916</c:v>
                </c:pt>
                <c:pt idx="13">
                  <c:v>1546</c:v>
                </c:pt>
                <c:pt idx="14">
                  <c:v>2186</c:v>
                </c:pt>
                <c:pt idx="15">
                  <c:v>2089</c:v>
                </c:pt>
                <c:pt idx="16">
                  <c:v>1979</c:v>
                </c:pt>
                <c:pt idx="17">
                  <c:v>2060</c:v>
                </c:pt>
                <c:pt idx="18">
                  <c:v>1371</c:v>
                </c:pt>
                <c:pt idx="19">
                  <c:v>1235</c:v>
                </c:pt>
                <c:pt idx="20">
                  <c:v>1295</c:v>
                </c:pt>
                <c:pt idx="21">
                  <c:v>753</c:v>
                </c:pt>
                <c:pt idx="22">
                  <c:v>813</c:v>
                </c:pt>
                <c:pt idx="23">
                  <c:v>1210</c:v>
                </c:pt>
                <c:pt idx="24">
                  <c:v>2326</c:v>
                </c:pt>
                <c:pt idx="25">
                  <c:v>2111</c:v>
                </c:pt>
                <c:pt idx="26">
                  <c:v>2253</c:v>
                </c:pt>
                <c:pt idx="27">
                  <c:v>3389</c:v>
                </c:pt>
                <c:pt idx="28">
                  <c:v>2720</c:v>
                </c:pt>
                <c:pt idx="29">
                  <c:v>1696</c:v>
                </c:pt>
                <c:pt idx="30">
                  <c:v>1143</c:v>
                </c:pt>
                <c:pt idx="31">
                  <c:v>675</c:v>
                </c:pt>
                <c:pt idx="32">
                  <c:v>567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'Chiffres Inf respi'!$A$19</c:f>
              <c:strCache>
                <c:ptCount val="1"/>
                <c:pt idx="0">
                  <c:v>PYOSTACINE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respi'!$B$19:$AH$19</c:f>
              <c:numCache>
                <c:ptCount val="33"/>
                <c:pt idx="0">
                  <c:v>2801</c:v>
                </c:pt>
                <c:pt idx="1">
                  <c:v>2637</c:v>
                </c:pt>
                <c:pt idx="2">
                  <c:v>2676</c:v>
                </c:pt>
                <c:pt idx="3">
                  <c:v>2946</c:v>
                </c:pt>
                <c:pt idx="4">
                  <c:v>3094</c:v>
                </c:pt>
                <c:pt idx="5">
                  <c:v>3157</c:v>
                </c:pt>
                <c:pt idx="6">
                  <c:v>2624</c:v>
                </c:pt>
                <c:pt idx="7">
                  <c:v>2511</c:v>
                </c:pt>
                <c:pt idx="8">
                  <c:v>2575</c:v>
                </c:pt>
                <c:pt idx="9">
                  <c:v>2264</c:v>
                </c:pt>
                <c:pt idx="10">
                  <c:v>2237</c:v>
                </c:pt>
                <c:pt idx="11">
                  <c:v>2518</c:v>
                </c:pt>
                <c:pt idx="12">
                  <c:v>2564</c:v>
                </c:pt>
                <c:pt idx="13">
                  <c:v>2367</c:v>
                </c:pt>
                <c:pt idx="14">
                  <c:v>2772</c:v>
                </c:pt>
                <c:pt idx="15">
                  <c:v>2710</c:v>
                </c:pt>
                <c:pt idx="16">
                  <c:v>2735</c:v>
                </c:pt>
                <c:pt idx="17">
                  <c:v>2936</c:v>
                </c:pt>
                <c:pt idx="18">
                  <c:v>2245</c:v>
                </c:pt>
                <c:pt idx="19">
                  <c:v>2239</c:v>
                </c:pt>
                <c:pt idx="20">
                  <c:v>2305</c:v>
                </c:pt>
                <c:pt idx="21">
                  <c:v>2074</c:v>
                </c:pt>
                <c:pt idx="22">
                  <c:v>2250</c:v>
                </c:pt>
                <c:pt idx="23">
                  <c:v>2301</c:v>
                </c:pt>
                <c:pt idx="24">
                  <c:v>2850</c:v>
                </c:pt>
                <c:pt idx="25">
                  <c:v>2579</c:v>
                </c:pt>
                <c:pt idx="26">
                  <c:v>2476</c:v>
                </c:pt>
                <c:pt idx="27">
                  <c:v>3480</c:v>
                </c:pt>
                <c:pt idx="28">
                  <c:v>3106</c:v>
                </c:pt>
                <c:pt idx="29">
                  <c:v>2676</c:v>
                </c:pt>
                <c:pt idx="30">
                  <c:v>2232</c:v>
                </c:pt>
                <c:pt idx="31">
                  <c:v>2630</c:v>
                </c:pt>
                <c:pt idx="32">
                  <c:v>2410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'Chiffres Inf respi'!$A$20</c:f>
              <c:strCache>
                <c:ptCount val="1"/>
                <c:pt idx="0">
                  <c:v>OFLOCET + Gé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respi'!$B$20:$AH$20</c:f>
              <c:numCache>
                <c:ptCount val="33"/>
                <c:pt idx="0">
                  <c:v>1180</c:v>
                </c:pt>
                <c:pt idx="1">
                  <c:v>1131</c:v>
                </c:pt>
                <c:pt idx="2">
                  <c:v>1206</c:v>
                </c:pt>
                <c:pt idx="3">
                  <c:v>1132</c:v>
                </c:pt>
                <c:pt idx="4">
                  <c:v>1084</c:v>
                </c:pt>
                <c:pt idx="5">
                  <c:v>1317</c:v>
                </c:pt>
                <c:pt idx="6">
                  <c:v>1123</c:v>
                </c:pt>
                <c:pt idx="7">
                  <c:v>1120</c:v>
                </c:pt>
                <c:pt idx="8">
                  <c:v>1024</c:v>
                </c:pt>
                <c:pt idx="9">
                  <c:v>949</c:v>
                </c:pt>
                <c:pt idx="10">
                  <c:v>948</c:v>
                </c:pt>
                <c:pt idx="11">
                  <c:v>1196</c:v>
                </c:pt>
                <c:pt idx="12">
                  <c:v>1103</c:v>
                </c:pt>
                <c:pt idx="13">
                  <c:v>1209</c:v>
                </c:pt>
                <c:pt idx="14">
                  <c:v>1173</c:v>
                </c:pt>
                <c:pt idx="15">
                  <c:v>1145</c:v>
                </c:pt>
                <c:pt idx="16">
                  <c:v>1081</c:v>
                </c:pt>
                <c:pt idx="17">
                  <c:v>1406</c:v>
                </c:pt>
                <c:pt idx="18">
                  <c:v>1067</c:v>
                </c:pt>
                <c:pt idx="19">
                  <c:v>1114</c:v>
                </c:pt>
                <c:pt idx="20">
                  <c:v>1108</c:v>
                </c:pt>
                <c:pt idx="21">
                  <c:v>960</c:v>
                </c:pt>
                <c:pt idx="22">
                  <c:v>1053</c:v>
                </c:pt>
                <c:pt idx="23">
                  <c:v>1216</c:v>
                </c:pt>
                <c:pt idx="24">
                  <c:v>1377</c:v>
                </c:pt>
                <c:pt idx="25">
                  <c:v>1270</c:v>
                </c:pt>
                <c:pt idx="26">
                  <c:v>1085</c:v>
                </c:pt>
                <c:pt idx="27">
                  <c:v>1478</c:v>
                </c:pt>
                <c:pt idx="28">
                  <c:v>1241</c:v>
                </c:pt>
                <c:pt idx="29">
                  <c:v>1300</c:v>
                </c:pt>
                <c:pt idx="30">
                  <c:v>1082</c:v>
                </c:pt>
                <c:pt idx="31">
                  <c:v>1284</c:v>
                </c:pt>
                <c:pt idx="32">
                  <c:v>1223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'Chiffres Inf respi'!$A$21</c:f>
              <c:strCache>
                <c:ptCount val="1"/>
                <c:pt idx="0">
                  <c:v>TAVANIC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respi'!$B$21:$AH$21</c:f>
              <c:numCache>
                <c:ptCount val="33"/>
                <c:pt idx="0">
                  <c:v>912</c:v>
                </c:pt>
                <c:pt idx="1">
                  <c:v>935</c:v>
                </c:pt>
                <c:pt idx="2">
                  <c:v>1075</c:v>
                </c:pt>
                <c:pt idx="3">
                  <c:v>1251</c:v>
                </c:pt>
                <c:pt idx="4">
                  <c:v>1455</c:v>
                </c:pt>
                <c:pt idx="5">
                  <c:v>1452</c:v>
                </c:pt>
                <c:pt idx="6">
                  <c:v>1012</c:v>
                </c:pt>
                <c:pt idx="7">
                  <c:v>881</c:v>
                </c:pt>
                <c:pt idx="8">
                  <c:v>642</c:v>
                </c:pt>
                <c:pt idx="9">
                  <c:v>470</c:v>
                </c:pt>
                <c:pt idx="10">
                  <c:v>428</c:v>
                </c:pt>
                <c:pt idx="11">
                  <c:v>677</c:v>
                </c:pt>
                <c:pt idx="12">
                  <c:v>871</c:v>
                </c:pt>
                <c:pt idx="13">
                  <c:v>808</c:v>
                </c:pt>
                <c:pt idx="14">
                  <c:v>1097</c:v>
                </c:pt>
                <c:pt idx="15">
                  <c:v>1260</c:v>
                </c:pt>
                <c:pt idx="16">
                  <c:v>1126</c:v>
                </c:pt>
                <c:pt idx="17">
                  <c:v>1270</c:v>
                </c:pt>
                <c:pt idx="18">
                  <c:v>850</c:v>
                </c:pt>
                <c:pt idx="19">
                  <c:v>790</c:v>
                </c:pt>
                <c:pt idx="20">
                  <c:v>761</c:v>
                </c:pt>
                <c:pt idx="21">
                  <c:v>515</c:v>
                </c:pt>
                <c:pt idx="22">
                  <c:v>553</c:v>
                </c:pt>
                <c:pt idx="23">
                  <c:v>778</c:v>
                </c:pt>
                <c:pt idx="24">
                  <c:v>1221</c:v>
                </c:pt>
                <c:pt idx="25">
                  <c:v>1113</c:v>
                </c:pt>
                <c:pt idx="26">
                  <c:v>1205</c:v>
                </c:pt>
                <c:pt idx="27">
                  <c:v>2001</c:v>
                </c:pt>
                <c:pt idx="28">
                  <c:v>1731</c:v>
                </c:pt>
                <c:pt idx="29">
                  <c:v>1375</c:v>
                </c:pt>
                <c:pt idx="30">
                  <c:v>1041</c:v>
                </c:pt>
                <c:pt idx="31">
                  <c:v>973</c:v>
                </c:pt>
                <c:pt idx="32">
                  <c:v>867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'Chiffres Inf respi'!$A$22</c:f>
              <c:strCache>
                <c:ptCount val="1"/>
                <c:pt idx="0">
                  <c:v>IZILOX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respi'!$B$22:$AH$22</c:f>
              <c:numCache>
                <c:ptCount val="33"/>
                <c:pt idx="0">
                  <c:v>1110</c:v>
                </c:pt>
                <c:pt idx="1">
                  <c:v>1156</c:v>
                </c:pt>
                <c:pt idx="2">
                  <c:v>1385</c:v>
                </c:pt>
                <c:pt idx="3">
                  <c:v>1364</c:v>
                </c:pt>
                <c:pt idx="4">
                  <c:v>1770</c:v>
                </c:pt>
                <c:pt idx="5">
                  <c:v>1714</c:v>
                </c:pt>
                <c:pt idx="6">
                  <c:v>1224</c:v>
                </c:pt>
                <c:pt idx="7">
                  <c:v>892</c:v>
                </c:pt>
                <c:pt idx="8">
                  <c:v>655</c:v>
                </c:pt>
                <c:pt idx="9">
                  <c:v>371</c:v>
                </c:pt>
                <c:pt idx="10">
                  <c:v>359</c:v>
                </c:pt>
                <c:pt idx="11">
                  <c:v>689</c:v>
                </c:pt>
                <c:pt idx="12">
                  <c:v>913</c:v>
                </c:pt>
                <c:pt idx="13">
                  <c:v>905</c:v>
                </c:pt>
                <c:pt idx="14">
                  <c:v>1169</c:v>
                </c:pt>
                <c:pt idx="15">
                  <c:v>1143</c:v>
                </c:pt>
                <c:pt idx="16">
                  <c:v>1185</c:v>
                </c:pt>
                <c:pt idx="17">
                  <c:v>1266</c:v>
                </c:pt>
                <c:pt idx="18">
                  <c:v>810</c:v>
                </c:pt>
                <c:pt idx="19">
                  <c:v>751</c:v>
                </c:pt>
                <c:pt idx="20">
                  <c:v>640</c:v>
                </c:pt>
                <c:pt idx="21">
                  <c:v>350</c:v>
                </c:pt>
                <c:pt idx="22">
                  <c:v>346</c:v>
                </c:pt>
                <c:pt idx="23">
                  <c:v>690</c:v>
                </c:pt>
                <c:pt idx="24">
                  <c:v>1124</c:v>
                </c:pt>
                <c:pt idx="25">
                  <c:v>987</c:v>
                </c:pt>
                <c:pt idx="26">
                  <c:v>1155</c:v>
                </c:pt>
                <c:pt idx="27">
                  <c:v>1751</c:v>
                </c:pt>
                <c:pt idx="28">
                  <c:v>1663</c:v>
                </c:pt>
                <c:pt idx="29">
                  <c:v>1245</c:v>
                </c:pt>
                <c:pt idx="30">
                  <c:v>966</c:v>
                </c:pt>
                <c:pt idx="31">
                  <c:v>817</c:v>
                </c:pt>
                <c:pt idx="32">
                  <c:v>618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Nombres de 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510"/>
        <c:crossesAt val="1"/>
        <c:crossBetween val="between"/>
        <c:dispUnits/>
        <c:majorUnit val="2000"/>
        <c:minorUnit val="10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139"/>
          <c:w val="0.2475"/>
          <c:h val="0.82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Evolution par classes (%)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75"/>
          <c:w val="0.710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respi'!$A$50</c:f>
              <c:strCache>
                <c:ptCount val="1"/>
                <c:pt idx="0">
                  <c:v>C1G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respi'!$B$50:$AH$50</c:f>
              <c:numCache>
                <c:ptCount val="33"/>
                <c:pt idx="0">
                  <c:v>0.04453844239860662</c:v>
                </c:pt>
                <c:pt idx="1">
                  <c:v>0.04091593634895578</c:v>
                </c:pt>
                <c:pt idx="2">
                  <c:v>0.04430779165504792</c:v>
                </c:pt>
                <c:pt idx="3">
                  <c:v>0.04221150098775718</c:v>
                </c:pt>
                <c:pt idx="4">
                  <c:v>0.043968666245847866</c:v>
                </c:pt>
                <c:pt idx="5">
                  <c:v>0.03879180096696212</c:v>
                </c:pt>
                <c:pt idx="6">
                  <c:v>0.04195236235845373</c:v>
                </c:pt>
                <c:pt idx="7">
                  <c:v>0.03623577090410632</c:v>
                </c:pt>
                <c:pt idx="8">
                  <c:v>0.03969286283724248</c:v>
                </c:pt>
                <c:pt idx="9">
                  <c:v>0.03536235148375472</c:v>
                </c:pt>
                <c:pt idx="10">
                  <c:v>0.027522330993111178</c:v>
                </c:pt>
                <c:pt idx="11">
                  <c:v>0.037018756169792694</c:v>
                </c:pt>
                <c:pt idx="12">
                  <c:v>0.04054910966768925</c:v>
                </c:pt>
                <c:pt idx="13">
                  <c:v>0.03987935017085696</c:v>
                </c:pt>
                <c:pt idx="14">
                  <c:v>0.041614330184042383</c:v>
                </c:pt>
                <c:pt idx="15">
                  <c:v>0.038558319646812424</c:v>
                </c:pt>
                <c:pt idx="16">
                  <c:v>0.04302733971489567</c:v>
                </c:pt>
                <c:pt idx="17">
                  <c:v>0.03930706999648259</c:v>
                </c:pt>
                <c:pt idx="18">
                  <c:v>0.035453155791296015</c:v>
                </c:pt>
                <c:pt idx="19">
                  <c:v>0.031607582365387105</c:v>
                </c:pt>
                <c:pt idx="20">
                  <c:v>0.032891691100284386</c:v>
                </c:pt>
                <c:pt idx="21">
                  <c:v>0.02901321805636379</c:v>
                </c:pt>
                <c:pt idx="22">
                  <c:v>0.026368203573233447</c:v>
                </c:pt>
                <c:pt idx="23">
                  <c:v>0.03608199610425749</c:v>
                </c:pt>
                <c:pt idx="24">
                  <c:v>0.037553148567704295</c:v>
                </c:pt>
                <c:pt idx="25">
                  <c:v>0.0331848317956993</c:v>
                </c:pt>
                <c:pt idx="26">
                  <c:v>0.03519310653674507</c:v>
                </c:pt>
                <c:pt idx="27">
                  <c:v>0.03515445661441595</c:v>
                </c:pt>
                <c:pt idx="28">
                  <c:v>0.03380848169397291</c:v>
                </c:pt>
                <c:pt idx="29">
                  <c:v>0.031875538438149296</c:v>
                </c:pt>
                <c:pt idx="30">
                  <c:v>0.03186430909203186</c:v>
                </c:pt>
                <c:pt idx="31">
                  <c:v>0.03079270678456843</c:v>
                </c:pt>
                <c:pt idx="32">
                  <c:v>0.029060977658323536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respi'!$A$51</c:f>
              <c:strCache>
                <c:ptCount val="1"/>
                <c:pt idx="0">
                  <c:v>C2-C3G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respi'!$B$51:$AH$51</c:f>
              <c:numCache>
                <c:ptCount val="33"/>
                <c:pt idx="0">
                  <c:v>0.27769760305216884</c:v>
                </c:pt>
                <c:pt idx="1">
                  <c:v>0.2738010995590877</c:v>
                </c:pt>
                <c:pt idx="2">
                  <c:v>0.28834553913439104</c:v>
                </c:pt>
                <c:pt idx="3">
                  <c:v>0.29386784212011663</c:v>
                </c:pt>
                <c:pt idx="4">
                  <c:v>0.2953734077009841</c:v>
                </c:pt>
                <c:pt idx="5">
                  <c:v>0.2967616841257051</c:v>
                </c:pt>
                <c:pt idx="6">
                  <c:v>0.2968059351815697</c:v>
                </c:pt>
                <c:pt idx="7">
                  <c:v>0.2735363649005702</c:v>
                </c:pt>
                <c:pt idx="8">
                  <c:v>0.26694079637477447</c:v>
                </c:pt>
                <c:pt idx="9">
                  <c:v>0.25153443324511515</c:v>
                </c:pt>
                <c:pt idx="10">
                  <c:v>0.24723952668182866</c:v>
                </c:pt>
                <c:pt idx="11">
                  <c:v>0.24863728056998155</c:v>
                </c:pt>
                <c:pt idx="12">
                  <c:v>0.2504927248110507</c:v>
                </c:pt>
                <c:pt idx="13">
                  <c:v>0.24292232212740772</c:v>
                </c:pt>
                <c:pt idx="14">
                  <c:v>0.2527032931025067</c:v>
                </c:pt>
                <c:pt idx="15">
                  <c:v>0.2586375759036871</c:v>
                </c:pt>
                <c:pt idx="16">
                  <c:v>0.2669926313614765</c:v>
                </c:pt>
                <c:pt idx="17">
                  <c:v>0.2605668894360418</c:v>
                </c:pt>
                <c:pt idx="18">
                  <c:v>0.26165349835165846</c:v>
                </c:pt>
                <c:pt idx="19">
                  <c:v>0.2470745714409085</c:v>
                </c:pt>
                <c:pt idx="20">
                  <c:v>0.23808998919776903</c:v>
                </c:pt>
                <c:pt idx="21">
                  <c:v>0.25111536010197577</c:v>
                </c:pt>
                <c:pt idx="22">
                  <c:v>0.24171348732126402</c:v>
                </c:pt>
                <c:pt idx="23">
                  <c:v>0.23794174937389853</c:v>
                </c:pt>
                <c:pt idx="24">
                  <c:v>0.24443685794978431</c:v>
                </c:pt>
                <c:pt idx="25">
                  <c:v>0.24806187953835898</c:v>
                </c:pt>
                <c:pt idx="26">
                  <c:v>0.2630449217845175</c:v>
                </c:pt>
                <c:pt idx="27">
                  <c:v>0.2693098095800267</c:v>
                </c:pt>
                <c:pt idx="28">
                  <c:v>0.2703968770331815</c:v>
                </c:pt>
                <c:pt idx="29">
                  <c:v>0.2660011148836974</c:v>
                </c:pt>
                <c:pt idx="30">
                  <c:v>0.2573434058582573</c:v>
                </c:pt>
                <c:pt idx="31">
                  <c:v>0.25528210345097424</c:v>
                </c:pt>
                <c:pt idx="32">
                  <c:v>0.2504619519569965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respi'!$A$52</c:f>
              <c:strCache>
                <c:ptCount val="1"/>
                <c:pt idx="0">
                  <c:v>Bêta-lactamines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respi'!$B$52:$AH$52</c:f>
              <c:numCache>
                <c:ptCount val="33"/>
                <c:pt idx="0">
                  <c:v>0.6540598822260927</c:v>
                </c:pt>
                <c:pt idx="1">
                  <c:v>0.6493204869994376</c:v>
                </c:pt>
                <c:pt idx="2">
                  <c:v>0.6613000278849964</c:v>
                </c:pt>
                <c:pt idx="3">
                  <c:v>0.667387886199621</c:v>
                </c:pt>
                <c:pt idx="4">
                  <c:v>0.6716785496238501</c:v>
                </c:pt>
                <c:pt idx="5">
                  <c:v>0.6651012288477034</c:v>
                </c:pt>
                <c:pt idx="6">
                  <c:v>0.6810620851229989</c:v>
                </c:pt>
                <c:pt idx="7">
                  <c:v>0.6645807259073843</c:v>
                </c:pt>
                <c:pt idx="8">
                  <c:v>0.6774640204758108</c:v>
                </c:pt>
                <c:pt idx="9">
                  <c:v>0.6836252041218537</c:v>
                </c:pt>
                <c:pt idx="10">
                  <c:v>0.6648538185174198</c:v>
                </c:pt>
                <c:pt idx="11">
                  <c:v>0.6583329756641916</c:v>
                </c:pt>
                <c:pt idx="12">
                  <c:v>0.6603197998251897</c:v>
                </c:pt>
                <c:pt idx="13">
                  <c:v>0.676612641505832</c:v>
                </c:pt>
                <c:pt idx="14">
                  <c:v>0.6942275135164655</c:v>
                </c:pt>
                <c:pt idx="15">
                  <c:v>0.6885349646661745</c:v>
                </c:pt>
                <c:pt idx="16">
                  <c:v>0.7047310791267819</c:v>
                </c:pt>
                <c:pt idx="17">
                  <c:v>0.6878004455387502</c:v>
                </c:pt>
                <c:pt idx="18">
                  <c:v>0.7057480155441369</c:v>
                </c:pt>
                <c:pt idx="19">
                  <c:v>0.6902284209162743</c:v>
                </c:pt>
                <c:pt idx="20">
                  <c:v>0.6957298119529993</c:v>
                </c:pt>
                <c:pt idx="21">
                  <c:v>0.7130545625848643</c:v>
                </c:pt>
                <c:pt idx="22">
                  <c:v>0.6932132346383661</c:v>
                </c:pt>
                <c:pt idx="23">
                  <c:v>0.685581114924404</c:v>
                </c:pt>
                <c:pt idx="24">
                  <c:v>0.6816827534837528</c:v>
                </c:pt>
                <c:pt idx="25">
                  <c:v>0.6782018451608376</c:v>
                </c:pt>
                <c:pt idx="26">
                  <c:v>0.6924656793860123</c:v>
                </c:pt>
                <c:pt idx="27">
                  <c:v>0.689436173236265</c:v>
                </c:pt>
                <c:pt idx="28">
                  <c:v>0.6949902407286922</c:v>
                </c:pt>
                <c:pt idx="29">
                  <c:v>0.6930691396814136</c:v>
                </c:pt>
                <c:pt idx="30">
                  <c:v>0.6993474815256993</c:v>
                </c:pt>
                <c:pt idx="31">
                  <c:v>0.7131230925737537</c:v>
                </c:pt>
                <c:pt idx="32">
                  <c:v>0.7119939526289267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respi'!$A$53</c:f>
              <c:strCache>
                <c:ptCount val="1"/>
                <c:pt idx="0">
                  <c:v>Macrolides et apparentés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respi'!$B$53:$AH$53</c:f>
              <c:numCache>
                <c:ptCount val="33"/>
                <c:pt idx="0">
                  <c:v>0.29282574438085757</c:v>
                </c:pt>
                <c:pt idx="1">
                  <c:v>0.292217807050968</c:v>
                </c:pt>
                <c:pt idx="2">
                  <c:v>0.2848966053685956</c:v>
                </c:pt>
                <c:pt idx="3">
                  <c:v>0.2822566556019943</c:v>
                </c:pt>
                <c:pt idx="4">
                  <c:v>0.2837319039291369</c:v>
                </c:pt>
                <c:pt idx="5">
                  <c:v>0.27845487510072525</c:v>
                </c:pt>
                <c:pt idx="6">
                  <c:v>0.2664740335806326</c:v>
                </c:pt>
                <c:pt idx="7">
                  <c:v>0.2779466396487673</c:v>
                </c:pt>
                <c:pt idx="8">
                  <c:v>0.2738429908110603</c:v>
                </c:pt>
                <c:pt idx="9">
                  <c:v>0.2659778140661073</c:v>
                </c:pt>
                <c:pt idx="10">
                  <c:v>0.2779590625927025</c:v>
                </c:pt>
                <c:pt idx="11">
                  <c:v>0.28668612386797715</c:v>
                </c:pt>
                <c:pt idx="12">
                  <c:v>0.2902020600181665</c:v>
                </c:pt>
                <c:pt idx="13">
                  <c:v>0.2676059026783499</c:v>
                </c:pt>
                <c:pt idx="14">
                  <c:v>0.2588198350718148</c:v>
                </c:pt>
                <c:pt idx="15">
                  <c:v>0.2580047312670454</c:v>
                </c:pt>
                <c:pt idx="16">
                  <c:v>0.24855037531850424</c:v>
                </c:pt>
                <c:pt idx="17">
                  <c:v>0.25442607574158754</c:v>
                </c:pt>
                <c:pt idx="18">
                  <c:v>0.2440282151868427</c:v>
                </c:pt>
                <c:pt idx="19">
                  <c:v>0.25245045122846405</c:v>
                </c:pt>
                <c:pt idx="20">
                  <c:v>0.24895835629725976</c:v>
                </c:pt>
                <c:pt idx="21">
                  <c:v>0.23637320918890461</c:v>
                </c:pt>
                <c:pt idx="22">
                  <c:v>0.24875888106067362</c:v>
                </c:pt>
                <c:pt idx="23">
                  <c:v>0.25217976069010295</c:v>
                </c:pt>
                <c:pt idx="24">
                  <c:v>0.2605598833059185</c:v>
                </c:pt>
                <c:pt idx="25">
                  <c:v>0.26268986564703406</c:v>
                </c:pt>
                <c:pt idx="26">
                  <c:v>0.2543354386398382</c:v>
                </c:pt>
                <c:pt idx="27">
                  <c:v>0.2533941103167836</c:v>
                </c:pt>
                <c:pt idx="28">
                  <c:v>0.25018039865144615</c:v>
                </c:pt>
                <c:pt idx="29">
                  <c:v>0.24071352556631023</c:v>
                </c:pt>
                <c:pt idx="30">
                  <c:v>0.23706798954323705</c:v>
                </c:pt>
                <c:pt idx="31">
                  <c:v>0.22673918146959854</c:v>
                </c:pt>
                <c:pt idx="32">
                  <c:v>0.23114396102805307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respi'!$A$54</c:f>
              <c:strCache>
                <c:ptCount val="1"/>
                <c:pt idx="0">
                  <c:v>Fluoroquinolones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respi'!$B$54:$AH$54</c:f>
              <c:numCache>
                <c:ptCount val="33"/>
                <c:pt idx="0">
                  <c:v>0.05311437339304968</c:v>
                </c:pt>
                <c:pt idx="1">
                  <c:v>0.058461705949594475</c:v>
                </c:pt>
                <c:pt idx="2">
                  <c:v>0.05380336674640797</c:v>
                </c:pt>
                <c:pt idx="3">
                  <c:v>0.05035545819838465</c:v>
                </c:pt>
                <c:pt idx="4">
                  <c:v>0.04458954644701305</c:v>
                </c:pt>
                <c:pt idx="5">
                  <c:v>0.05644389605157131</c:v>
                </c:pt>
                <c:pt idx="6">
                  <c:v>0.0524638812963686</c:v>
                </c:pt>
                <c:pt idx="7">
                  <c:v>0.05747263444384847</c:v>
                </c:pt>
                <c:pt idx="8">
                  <c:v>0.048692988713128854</c:v>
                </c:pt>
                <c:pt idx="9">
                  <c:v>0.050396981812038964</c:v>
                </c:pt>
                <c:pt idx="10">
                  <c:v>0.057187118889877715</c:v>
                </c:pt>
                <c:pt idx="11">
                  <c:v>0.05498090046783124</c:v>
                </c:pt>
                <c:pt idx="12">
                  <c:v>0.049478140156643646</c:v>
                </c:pt>
                <c:pt idx="13">
                  <c:v>0.055781455815818115</c:v>
                </c:pt>
                <c:pt idx="14">
                  <c:v>0.04695265141171973</c:v>
                </c:pt>
                <c:pt idx="15">
                  <c:v>0.05346030406678018</c:v>
                </c:pt>
                <c:pt idx="16">
                  <c:v>0.04671854555471386</c:v>
                </c:pt>
                <c:pt idx="17">
                  <c:v>0.05777347871966233</c:v>
                </c:pt>
                <c:pt idx="18">
                  <c:v>0.050223769269020384</c:v>
                </c:pt>
                <c:pt idx="19">
                  <c:v>0.05732112785526145</c:v>
                </c:pt>
                <c:pt idx="20">
                  <c:v>0.05531183174974097</c:v>
                </c:pt>
                <c:pt idx="21">
                  <c:v>0.05057222822623105</c:v>
                </c:pt>
                <c:pt idx="22">
                  <c:v>0.058027884300960196</c:v>
                </c:pt>
                <c:pt idx="23">
                  <c:v>0.06223912438549299</c:v>
                </c:pt>
                <c:pt idx="24">
                  <c:v>0.05775736321032866</c:v>
                </c:pt>
                <c:pt idx="25">
                  <c:v>0.05910828919212825</c:v>
                </c:pt>
                <c:pt idx="26">
                  <c:v>0.053198881974149514</c:v>
                </c:pt>
                <c:pt idx="27">
                  <c:v>0.057169716446951305</c:v>
                </c:pt>
                <c:pt idx="28">
                  <c:v>0.0548293606198616</c:v>
                </c:pt>
                <c:pt idx="29">
                  <c:v>0.06621733475227622</c:v>
                </c:pt>
                <c:pt idx="30">
                  <c:v>0.06358452893106359</c:v>
                </c:pt>
                <c:pt idx="31">
                  <c:v>0.060137725956647625</c:v>
                </c:pt>
                <c:pt idx="32">
                  <c:v>0.05686208634302033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respi'!$A$55</c:f>
              <c:strCache>
                <c:ptCount val="1"/>
                <c:pt idx="0">
                  <c:v>ATB 1ère intention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respi'!$B$55:$AH$55</c:f>
              <c:numCache>
                <c:ptCount val="33"/>
                <c:pt idx="0">
                  <c:v>0.33182383677531724</c:v>
                </c:pt>
                <c:pt idx="1">
                  <c:v>0.33460345109139406</c:v>
                </c:pt>
                <c:pt idx="2">
                  <c:v>0.3286466970955575</c:v>
                </c:pt>
                <c:pt idx="3">
                  <c:v>0.3313085430917472</c:v>
                </c:pt>
                <c:pt idx="4">
                  <c:v>0.3323364756770181</c:v>
                </c:pt>
                <c:pt idx="5">
                  <c:v>0.32954774375503626</c:v>
                </c:pt>
                <c:pt idx="6">
                  <c:v>0.3423037875829754</c:v>
                </c:pt>
                <c:pt idx="7">
                  <c:v>0.3548085901027077</c:v>
                </c:pt>
                <c:pt idx="8">
                  <c:v>0.3708303612637939</c:v>
                </c:pt>
                <c:pt idx="9">
                  <c:v>0.39672841939298387</c:v>
                </c:pt>
                <c:pt idx="10">
                  <c:v>0.39009196084248</c:v>
                </c:pt>
                <c:pt idx="11">
                  <c:v>0.37267693892441733</c:v>
                </c:pt>
                <c:pt idx="12">
                  <c:v>0.36927796534644985</c:v>
                </c:pt>
                <c:pt idx="13">
                  <c:v>0.39381096920756736</c:v>
                </c:pt>
                <c:pt idx="14">
                  <c:v>0.3999098902299164</c:v>
                </c:pt>
                <c:pt idx="15">
                  <c:v>0.39133906911567495</c:v>
                </c:pt>
                <c:pt idx="16">
                  <c:v>0.39471110805040976</c:v>
                </c:pt>
                <c:pt idx="17">
                  <c:v>0.3879264861062258</c:v>
                </c:pt>
                <c:pt idx="18">
                  <c:v>0.40864136140118235</c:v>
                </c:pt>
                <c:pt idx="19">
                  <c:v>0.4115462671099788</c:v>
                </c:pt>
                <c:pt idx="20">
                  <c:v>0.4247481316549459</c:v>
                </c:pt>
                <c:pt idx="21">
                  <c:v>0.43292598442652475</c:v>
                </c:pt>
                <c:pt idx="22">
                  <c:v>0.42513154374386875</c:v>
                </c:pt>
                <c:pt idx="23">
                  <c:v>0.41155736944624804</c:v>
                </c:pt>
                <c:pt idx="24">
                  <c:v>0.3996927469662642</c:v>
                </c:pt>
                <c:pt idx="25">
                  <c:v>0.3969551338267794</c:v>
                </c:pt>
                <c:pt idx="26">
                  <c:v>0.3942276510647498</c:v>
                </c:pt>
                <c:pt idx="27">
                  <c:v>0.38497190704182244</c:v>
                </c:pt>
                <c:pt idx="28">
                  <c:v>0.3907848820015378</c:v>
                </c:pt>
                <c:pt idx="29">
                  <c:v>0.3951924863595669</c:v>
                </c:pt>
                <c:pt idx="30">
                  <c:v>0.4101397665754102</c:v>
                </c:pt>
                <c:pt idx="31">
                  <c:v>0.4270482823382111</c:v>
                </c:pt>
                <c:pt idx="32">
                  <c:v>0.43247102301360657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respi'!$A$56</c:f>
              <c:strCache>
                <c:ptCount val="1"/>
                <c:pt idx="0">
                  <c:v>ATB 2ème intention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respi'!$B$56:$AH$56</c:f>
              <c:numCache>
                <c:ptCount val="33"/>
                <c:pt idx="0">
                  <c:v>0.6681761632246827</c:v>
                </c:pt>
                <c:pt idx="1">
                  <c:v>0.665396548908606</c:v>
                </c:pt>
                <c:pt idx="2">
                  <c:v>0.6713533029044424</c:v>
                </c:pt>
                <c:pt idx="3">
                  <c:v>0.6686914569082528</c:v>
                </c:pt>
                <c:pt idx="4">
                  <c:v>0.6676635243229818</c:v>
                </c:pt>
                <c:pt idx="5">
                  <c:v>0.6704522562449637</c:v>
                </c:pt>
                <c:pt idx="6">
                  <c:v>0.6576962124170245</c:v>
                </c:pt>
                <c:pt idx="7">
                  <c:v>0.6451914098972921</c:v>
                </c:pt>
                <c:pt idx="8">
                  <c:v>0.629169638736206</c:v>
                </c:pt>
                <c:pt idx="9">
                  <c:v>0.6032715806070161</c:v>
                </c:pt>
                <c:pt idx="10">
                  <c:v>0.6099080391575202</c:v>
                </c:pt>
                <c:pt idx="11">
                  <c:v>0.6273230610755826</c:v>
                </c:pt>
                <c:pt idx="12">
                  <c:v>0.6307220346535501</c:v>
                </c:pt>
                <c:pt idx="13">
                  <c:v>0.6061890307924326</c:v>
                </c:pt>
                <c:pt idx="14">
                  <c:v>0.6000901097700837</c:v>
                </c:pt>
                <c:pt idx="15">
                  <c:v>0.6086609308843252</c:v>
                </c:pt>
                <c:pt idx="16">
                  <c:v>0.6052888919495902</c:v>
                </c:pt>
                <c:pt idx="17">
                  <c:v>0.6120735138937742</c:v>
                </c:pt>
                <c:pt idx="18">
                  <c:v>0.5913586385988177</c:v>
                </c:pt>
                <c:pt idx="19">
                  <c:v>0.5884537328900212</c:v>
                </c:pt>
                <c:pt idx="20">
                  <c:v>0.5752518683450542</c:v>
                </c:pt>
                <c:pt idx="21">
                  <c:v>0.5670740155734753</c:v>
                </c:pt>
                <c:pt idx="22">
                  <c:v>0.5748684562561313</c:v>
                </c:pt>
                <c:pt idx="23">
                  <c:v>0.5884426305537519</c:v>
                </c:pt>
                <c:pt idx="24">
                  <c:v>0.6003072530337359</c:v>
                </c:pt>
                <c:pt idx="25">
                  <c:v>0.6030448661732206</c:v>
                </c:pt>
                <c:pt idx="26">
                  <c:v>0.6057723489352502</c:v>
                </c:pt>
                <c:pt idx="27">
                  <c:v>0.6150280929581776</c:v>
                </c:pt>
                <c:pt idx="28">
                  <c:v>0.6092151179984622</c:v>
                </c:pt>
                <c:pt idx="29">
                  <c:v>0.6048075136404331</c:v>
                </c:pt>
                <c:pt idx="30">
                  <c:v>0.5898602334245899</c:v>
                </c:pt>
                <c:pt idx="31">
                  <c:v>0.572951717661789</c:v>
                </c:pt>
                <c:pt idx="32">
                  <c:v>0.5675289769863935</c:v>
                </c:pt>
              </c:numCache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Montant remboursé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9086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285"/>
          <c:w val="0.23875"/>
          <c:h val="0.8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(%) - Infections cutanéo muqueuses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'Chiffres Inf Cutanées'!$A$12</c:f>
              <c:strCache>
                <c:ptCount val="1"/>
                <c:pt idx="0">
                  <c:v>ORBENINE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Cutanées'!$B$12:$AH$12</c:f>
              <c:numCache>
                <c:ptCount val="33"/>
                <c:pt idx="0">
                  <c:v>0.14063943818148217</c:v>
                </c:pt>
                <c:pt idx="1">
                  <c:v>0.14804793196752997</c:v>
                </c:pt>
                <c:pt idx="2">
                  <c:v>0.14812599681020733</c:v>
                </c:pt>
                <c:pt idx="3">
                  <c:v>0.1283245971655989</c:v>
                </c:pt>
                <c:pt idx="4">
                  <c:v>0.12051282051282051</c:v>
                </c:pt>
                <c:pt idx="5">
                  <c:v>0.12539127232553857</c:v>
                </c:pt>
                <c:pt idx="6">
                  <c:v>0.15318209194940774</c:v>
                </c:pt>
                <c:pt idx="7">
                  <c:v>0.16489040820430323</c:v>
                </c:pt>
                <c:pt idx="8">
                  <c:v>0.18142548596112312</c:v>
                </c:pt>
                <c:pt idx="9">
                  <c:v>0.19964594807238395</c:v>
                </c:pt>
                <c:pt idx="10">
                  <c:v>0.18341145302628897</c:v>
                </c:pt>
                <c:pt idx="11">
                  <c:v>0.16418732782369147</c:v>
                </c:pt>
                <c:pt idx="12">
                  <c:v>0.1798183652875883</c:v>
                </c:pt>
                <c:pt idx="13">
                  <c:v>0.19153814089203836</c:v>
                </c:pt>
                <c:pt idx="14">
                  <c:v>0.1607503025413473</c:v>
                </c:pt>
                <c:pt idx="15">
                  <c:v>0.1415495955725841</c:v>
                </c:pt>
                <c:pt idx="16">
                  <c:v>0.14279624893435636</c:v>
                </c:pt>
                <c:pt idx="17">
                  <c:v>0.14989177489177488</c:v>
                </c:pt>
                <c:pt idx="18">
                  <c:v>0.16967252017085904</c:v>
                </c:pt>
                <c:pt idx="19">
                  <c:v>0.17608938547486033</c:v>
                </c:pt>
                <c:pt idx="20">
                  <c:v>0.17882015567390414</c:v>
                </c:pt>
                <c:pt idx="21">
                  <c:v>0.1975132490827558</c:v>
                </c:pt>
                <c:pt idx="22">
                  <c:v>0.18364952082925876</c:v>
                </c:pt>
                <c:pt idx="23">
                  <c:v>0.16815742397137745</c:v>
                </c:pt>
                <c:pt idx="24">
                  <c:v>0.16430646332607116</c:v>
                </c:pt>
                <c:pt idx="25">
                  <c:v>0.1710204081632653</c:v>
                </c:pt>
                <c:pt idx="26">
                  <c:v>0.141179128077705</c:v>
                </c:pt>
                <c:pt idx="27">
                  <c:v>0.1273635390652872</c:v>
                </c:pt>
                <c:pt idx="28">
                  <c:v>0.11713000817661488</c:v>
                </c:pt>
                <c:pt idx="29">
                  <c:v>0.1480647143149703</c:v>
                </c:pt>
                <c:pt idx="30">
                  <c:v>0.16255685898970554</c:v>
                </c:pt>
                <c:pt idx="31">
                  <c:v>0.16318407960199005</c:v>
                </c:pt>
                <c:pt idx="32">
                  <c:v>0.1814791796146675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Cutanées'!$A$13</c:f>
              <c:strCache>
                <c:ptCount val="1"/>
                <c:pt idx="0">
                  <c:v>BRISTOPEN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Cutanées'!$B$13:$AH$13</c:f>
              <c:numCache>
                <c:ptCount val="33"/>
                <c:pt idx="0">
                  <c:v>0.12603954906671594</c:v>
                </c:pt>
                <c:pt idx="1">
                  <c:v>0.13413219945883262</c:v>
                </c:pt>
                <c:pt idx="2">
                  <c:v>0.12041467304625199</c:v>
                </c:pt>
                <c:pt idx="3">
                  <c:v>0.11124053581828772</c:v>
                </c:pt>
                <c:pt idx="4">
                  <c:v>0.10315581854043393</c:v>
                </c:pt>
                <c:pt idx="5">
                  <c:v>0.10771496961885473</c:v>
                </c:pt>
                <c:pt idx="6">
                  <c:v>0.12065850230877334</c:v>
                </c:pt>
                <c:pt idx="7">
                  <c:v>0.12366780615322742</c:v>
                </c:pt>
                <c:pt idx="8">
                  <c:v>0.12580993520518358</c:v>
                </c:pt>
                <c:pt idx="9">
                  <c:v>0.1292289535798584</c:v>
                </c:pt>
                <c:pt idx="10">
                  <c:v>0.1369472182596291</c:v>
                </c:pt>
                <c:pt idx="11">
                  <c:v>0.13259871441689625</c:v>
                </c:pt>
                <c:pt idx="12">
                  <c:v>0.10494450050454086</c:v>
                </c:pt>
                <c:pt idx="13">
                  <c:v>0.10879533138807837</c:v>
                </c:pt>
                <c:pt idx="14">
                  <c:v>0.10427591770875352</c:v>
                </c:pt>
                <c:pt idx="15">
                  <c:v>0.10898254576415496</c:v>
                </c:pt>
                <c:pt idx="16">
                  <c:v>0.10720375106564364</c:v>
                </c:pt>
                <c:pt idx="17">
                  <c:v>0.11976911976911978</c:v>
                </c:pt>
                <c:pt idx="18">
                  <c:v>0.10678690080683437</c:v>
                </c:pt>
                <c:pt idx="19">
                  <c:v>0.12201117318435754</c:v>
                </c:pt>
                <c:pt idx="20">
                  <c:v>0.13396149119213438</c:v>
                </c:pt>
                <c:pt idx="21">
                  <c:v>0.14451691805951897</c:v>
                </c:pt>
                <c:pt idx="22">
                  <c:v>0.14492470174066105</c:v>
                </c:pt>
                <c:pt idx="23">
                  <c:v>0.1427151659709799</c:v>
                </c:pt>
                <c:pt idx="24">
                  <c:v>0.10856935366739288</c:v>
                </c:pt>
                <c:pt idx="25">
                  <c:v>0.10387755102040816</c:v>
                </c:pt>
                <c:pt idx="26">
                  <c:v>0.11068443641292071</c:v>
                </c:pt>
                <c:pt idx="27">
                  <c:v>0.09579022475918658</c:v>
                </c:pt>
                <c:pt idx="28">
                  <c:v>0.09443990188062143</c:v>
                </c:pt>
                <c:pt idx="29">
                  <c:v>0.11734589391767355</c:v>
                </c:pt>
                <c:pt idx="30">
                  <c:v>0.1220971989466124</c:v>
                </c:pt>
                <c:pt idx="31">
                  <c:v>0.11920398009950249</c:v>
                </c:pt>
                <c:pt idx="32">
                  <c:v>0.12492231199502797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Cutanées'!$A$14</c:f>
              <c:strCache>
                <c:ptCount val="1"/>
                <c:pt idx="0">
                  <c:v>PYOSTACINE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Cutanées'!$B$14:$AH$14</c:f>
              <c:numCache>
                <c:ptCount val="33"/>
                <c:pt idx="0">
                  <c:v>0.5176492330437996</c:v>
                </c:pt>
                <c:pt idx="1">
                  <c:v>0.5096637031310398</c:v>
                </c:pt>
                <c:pt idx="2">
                  <c:v>0.5334928229665071</c:v>
                </c:pt>
                <c:pt idx="3">
                  <c:v>0.5719277810133955</c:v>
                </c:pt>
                <c:pt idx="4">
                  <c:v>0.6102564102564103</c:v>
                </c:pt>
                <c:pt idx="5">
                  <c:v>0.5812925796354262</c:v>
                </c:pt>
                <c:pt idx="6">
                  <c:v>0.5268018470186709</c:v>
                </c:pt>
                <c:pt idx="7">
                  <c:v>0.5049266036597627</c:v>
                </c:pt>
                <c:pt idx="8">
                  <c:v>0.4634629229661627</c:v>
                </c:pt>
                <c:pt idx="9">
                  <c:v>0.44531864673485444</c:v>
                </c:pt>
                <c:pt idx="10">
                  <c:v>0.45587935602200935</c:v>
                </c:pt>
                <c:pt idx="11">
                  <c:v>0.46244260789715336</c:v>
                </c:pt>
                <c:pt idx="12">
                  <c:v>0.5174571140262362</c:v>
                </c:pt>
                <c:pt idx="13">
                  <c:v>0.4933305543976657</c:v>
                </c:pt>
                <c:pt idx="14">
                  <c:v>0.5590964098426785</c:v>
                </c:pt>
                <c:pt idx="15">
                  <c:v>0.576841209025117</c:v>
                </c:pt>
                <c:pt idx="16">
                  <c:v>0.5829070758738278</c:v>
                </c:pt>
                <c:pt idx="17">
                  <c:v>0.5295815295815296</c:v>
                </c:pt>
                <c:pt idx="18">
                  <c:v>0.5327479829140959</c:v>
                </c:pt>
                <c:pt idx="19">
                  <c:v>0.5003351955307263</c:v>
                </c:pt>
                <c:pt idx="20">
                  <c:v>0.47214256452273656</c:v>
                </c:pt>
                <c:pt idx="21">
                  <c:v>0.4227476559315124</c:v>
                </c:pt>
                <c:pt idx="22">
                  <c:v>0.44005476237042834</c:v>
                </c:pt>
                <c:pt idx="23">
                  <c:v>0.4573643410852713</c:v>
                </c:pt>
                <c:pt idx="24">
                  <c:v>0.5174291938997821</c:v>
                </c:pt>
                <c:pt idx="25">
                  <c:v>0.5263265306122449</c:v>
                </c:pt>
                <c:pt idx="26">
                  <c:v>0.5592952337926361</c:v>
                </c:pt>
                <c:pt idx="27">
                  <c:v>0.6207634677131645</c:v>
                </c:pt>
                <c:pt idx="28">
                  <c:v>0.6349141455437449</c:v>
                </c:pt>
                <c:pt idx="29">
                  <c:v>0.5480237558877739</c:v>
                </c:pt>
                <c:pt idx="30">
                  <c:v>0.5343548000957625</c:v>
                </c:pt>
                <c:pt idx="31">
                  <c:v>0.5233830845771145</c:v>
                </c:pt>
                <c:pt idx="32">
                  <c:v>0.49927491195359436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Cutanées'!$A$15</c:f>
              <c:strCache>
                <c:ptCount val="1"/>
                <c:pt idx="0">
                  <c:v>FUCIDINE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Cutanées'!$B$15:$AH$15</c:f>
              <c:numCache>
                <c:ptCount val="33"/>
                <c:pt idx="0">
                  <c:v>0.21567177970800222</c:v>
                </c:pt>
                <c:pt idx="1">
                  <c:v>0.2081561654425976</c:v>
                </c:pt>
                <c:pt idx="2">
                  <c:v>0.19796650717703348</c:v>
                </c:pt>
                <c:pt idx="3">
                  <c:v>0.18850708600271793</c:v>
                </c:pt>
                <c:pt idx="4">
                  <c:v>0.16607495069033532</c:v>
                </c:pt>
                <c:pt idx="5">
                  <c:v>0.18560117842018045</c:v>
                </c:pt>
                <c:pt idx="6">
                  <c:v>0.19935755872314795</c:v>
                </c:pt>
                <c:pt idx="7">
                  <c:v>0.2065151819827066</c:v>
                </c:pt>
                <c:pt idx="8">
                  <c:v>0.2293016558675306</c:v>
                </c:pt>
                <c:pt idx="9">
                  <c:v>0.22580645161290322</c:v>
                </c:pt>
                <c:pt idx="10">
                  <c:v>0.22376197269207254</c:v>
                </c:pt>
                <c:pt idx="11">
                  <c:v>0.24077134986225895</c:v>
                </c:pt>
                <c:pt idx="12">
                  <c:v>0.1977800201816347</c:v>
                </c:pt>
                <c:pt idx="13">
                  <c:v>0.2063359733222176</c:v>
                </c:pt>
                <c:pt idx="14">
                  <c:v>0.17587736990722067</c:v>
                </c:pt>
                <c:pt idx="15">
                  <c:v>0.1726266496381439</c:v>
                </c:pt>
                <c:pt idx="16">
                  <c:v>0.16709292412617222</c:v>
                </c:pt>
                <c:pt idx="17">
                  <c:v>0.20075757575757575</c:v>
                </c:pt>
                <c:pt idx="18">
                  <c:v>0.19079259610821073</c:v>
                </c:pt>
                <c:pt idx="19">
                  <c:v>0.20156424581005586</c:v>
                </c:pt>
                <c:pt idx="20">
                  <c:v>0.2150757886112249</c:v>
                </c:pt>
                <c:pt idx="21">
                  <c:v>0.2352221769262128</c:v>
                </c:pt>
                <c:pt idx="22">
                  <c:v>0.23137101505965188</c:v>
                </c:pt>
                <c:pt idx="23">
                  <c:v>0.2317630689723713</c:v>
                </c:pt>
                <c:pt idx="24">
                  <c:v>0.20969498910675383</c:v>
                </c:pt>
                <c:pt idx="25">
                  <c:v>0.19877551020408163</c:v>
                </c:pt>
                <c:pt idx="26">
                  <c:v>0.1888412017167382</c:v>
                </c:pt>
                <c:pt idx="27">
                  <c:v>0.15608276846236174</c:v>
                </c:pt>
                <c:pt idx="28">
                  <c:v>0.1535159443990188</c:v>
                </c:pt>
                <c:pt idx="29">
                  <c:v>0.18656563587958222</c:v>
                </c:pt>
                <c:pt idx="30">
                  <c:v>0.18099114196791957</c:v>
                </c:pt>
                <c:pt idx="31">
                  <c:v>0.19422885572139303</c:v>
                </c:pt>
                <c:pt idx="32">
                  <c:v>0.19432359643671018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18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0.303</cdr:y>
    </cdr:from>
    <cdr:to>
      <cdr:x>0.58675</cdr:x>
      <cdr:y>0.8755</cdr:y>
    </cdr:to>
    <cdr:sp>
      <cdr:nvSpPr>
        <cdr:cNvPr id="1" name="Line 15"/>
        <cdr:cNvSpPr>
          <a:spLocks/>
        </cdr:cNvSpPr>
      </cdr:nvSpPr>
      <cdr:spPr>
        <a:xfrm flipH="1" flipV="1">
          <a:off x="5400675" y="1743075"/>
          <a:ext cx="9525" cy="3295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0.0725</cdr:y>
    </cdr:from>
    <cdr:to>
      <cdr:x>0.98675</cdr:x>
      <cdr:y>0.131</cdr:y>
    </cdr:to>
    <cdr:sp>
      <cdr:nvSpPr>
        <cdr:cNvPr id="2" name="TextBox 1"/>
        <cdr:cNvSpPr txBox="1">
          <a:spLocks noChangeArrowheads="1"/>
        </cdr:cNvSpPr>
      </cdr:nvSpPr>
      <cdr:spPr>
        <a:xfrm>
          <a:off x="828675" y="409575"/>
          <a:ext cx="8286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- 6640 médecins non visités au 15/04/07 - analyse fin juin 07</a:t>
          </a:r>
        </a:p>
      </cdr:txBody>
    </cdr:sp>
  </cdr:relSizeAnchor>
  <cdr:relSizeAnchor xmlns:cdr="http://schemas.openxmlformats.org/drawingml/2006/chartDrawing">
    <cdr:from>
      <cdr:x>0.10525</cdr:x>
      <cdr:y>0.11625</cdr:y>
    </cdr:from>
    <cdr:to>
      <cdr:x>0.72425</cdr:x>
      <cdr:y>0.29075</cdr:y>
    </cdr:to>
    <cdr:sp>
      <cdr:nvSpPr>
        <cdr:cNvPr id="3" name="TextBox 11"/>
        <cdr:cNvSpPr txBox="1">
          <a:spLocks noChangeArrowheads="1"/>
        </cdr:cNvSpPr>
      </cdr:nvSpPr>
      <cdr:spPr>
        <a:xfrm>
          <a:off x="971550" y="666750"/>
          <a:ext cx="57150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Chez les 6.640 médecins non visités au 15 avril 2007, la prescription d'amoxicilline a peu varié, passant de 23,6% en novembre 2006 à 25,6% en juin 2007. Après un plus bas à  22,0% en janvier 2007 (en % des patients traités par antibiotiques), elle augmente surtout depuis mars 2007. Un phénomène dit de "contamination" n'est pas à exclure : les médecins visités par les DAM influencent à leur tour les non visités (classiquement observé dans les cabinets médicaux) </a:t>
          </a:r>
        </a:p>
      </cdr:txBody>
    </cdr:sp>
  </cdr:relSizeAnchor>
  <cdr:relSizeAnchor xmlns:cdr="http://schemas.openxmlformats.org/drawingml/2006/chartDrawing">
    <cdr:from>
      <cdr:x>0.58675</cdr:x>
      <cdr:y>0.31375</cdr:y>
    </cdr:from>
    <cdr:to>
      <cdr:x>0.668</cdr:x>
      <cdr:y>0.3515</cdr:y>
    </cdr:to>
    <cdr:sp>
      <cdr:nvSpPr>
        <cdr:cNvPr id="4" name="TextBox 13"/>
        <cdr:cNvSpPr txBox="1">
          <a:spLocks noChangeArrowheads="1"/>
        </cdr:cNvSpPr>
      </cdr:nvSpPr>
      <cdr:spPr>
        <a:xfrm>
          <a:off x="5419725" y="1800225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+8,3% </a:t>
          </a:r>
        </a:p>
      </cdr:txBody>
    </cdr:sp>
  </cdr:relSizeAnchor>
  <cdr:relSizeAnchor xmlns:cdr="http://schemas.openxmlformats.org/drawingml/2006/chartDrawing">
    <cdr:from>
      <cdr:x>0.57675</cdr:x>
      <cdr:y>0.34225</cdr:y>
    </cdr:from>
    <cdr:to>
      <cdr:x>0.75</cdr:x>
      <cdr:y>0.3875</cdr:y>
    </cdr:to>
    <cdr:sp>
      <cdr:nvSpPr>
        <cdr:cNvPr id="5" name="AutoShape 14"/>
        <cdr:cNvSpPr>
          <a:spLocks/>
        </cdr:cNvSpPr>
      </cdr:nvSpPr>
      <cdr:spPr>
        <a:xfrm rot="20981702">
          <a:off x="5324475" y="1962150"/>
          <a:ext cx="1600200" cy="257175"/>
        </a:xfrm>
        <a:prstGeom prst="curvedDownArrow">
          <a:avLst>
            <a:gd name="adj" fmla="val 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0.0735</cdr:y>
    </cdr:from>
    <cdr:to>
      <cdr:x>0.961</cdr:x>
      <cdr:y>0.13275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419100"/>
          <a:ext cx="8020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- 6569 médecins non visités au 15/04/07</a:t>
          </a:r>
        </a:p>
      </cdr:txBody>
    </cdr:sp>
  </cdr:relSizeAnchor>
  <cdr:relSizeAnchor xmlns:cdr="http://schemas.openxmlformats.org/drawingml/2006/chartDrawing">
    <cdr:from>
      <cdr:x>0.10125</cdr:x>
      <cdr:y>0.116</cdr:y>
    </cdr:from>
    <cdr:to>
      <cdr:x>0.72775</cdr:x>
      <cdr:y>0.265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666750"/>
          <a:ext cx="579120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nombre de patients sous antibiotiques varie du simple au double entre les périodes épidémiques et celles sans pathologie - Ce graphique permet de comparer l'activité épidémique des 3 dernières saisons hivernales. A noter, également une remontée de la pathologie en mai  (météo capricieuse)
 =&gt; L'interprétation n'est pas possible sur les données brutes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0.082</cdr:y>
    </cdr:from>
    <cdr:to>
      <cdr:x>0.966</cdr:x>
      <cdr:y>0.141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466725"/>
          <a:ext cx="799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- 6569 médecins non visités au 15/04/07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0.095</cdr:y>
    </cdr:from>
    <cdr:to>
      <cdr:x>0.9595</cdr:x>
      <cdr:y>0.1545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542925"/>
          <a:ext cx="8162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- 6569 médecins non visités au 15/04/07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Liste1" displayName="Liste1" ref="A1:B23" totalsRowShown="0">
  <autoFilter ref="A1:B23"/>
  <tableColumns count="2">
    <tableColumn id="1" name="Ordre"/>
    <tableColumn id="2" name="Antibiotiqu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workbookViewId="0" topLeftCell="A1">
      <selection activeCell="A1" sqref="A1:B16384"/>
    </sheetView>
  </sheetViews>
  <sheetFormatPr defaultColWidth="11.421875" defaultRowHeight="12.75"/>
  <cols>
    <col min="1" max="1" width="21.7109375" style="0" customWidth="1"/>
    <col min="2" max="2" width="28.57421875" style="0" bestFit="1" customWidth="1"/>
    <col min="3" max="3" width="28.57421875" style="0" customWidth="1"/>
    <col min="4" max="4" width="12.7109375" style="0" customWidth="1"/>
    <col min="32" max="32" width="11.421875" style="40" customWidth="1"/>
  </cols>
  <sheetData>
    <row r="1" spans="1:36" ht="25.5">
      <c r="A1" s="1" t="s">
        <v>79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4">
        <v>38991</v>
      </c>
      <c r="AC1" s="4">
        <v>39022</v>
      </c>
      <c r="AD1" s="65">
        <v>39052</v>
      </c>
      <c r="AE1" s="65">
        <v>39083</v>
      </c>
      <c r="AF1" s="66">
        <v>39114</v>
      </c>
      <c r="AG1" s="66">
        <v>39142</v>
      </c>
      <c r="AH1" s="66">
        <v>39173</v>
      </c>
      <c r="AI1" s="66">
        <v>39203</v>
      </c>
      <c r="AJ1" s="66">
        <v>39234</v>
      </c>
    </row>
    <row r="2" spans="1:36" ht="12.75">
      <c r="A2" s="5">
        <v>1</v>
      </c>
      <c r="B2" s="6" t="s">
        <v>26</v>
      </c>
      <c r="C2" s="7" t="s">
        <v>112</v>
      </c>
      <c r="D2" s="69">
        <v>11741</v>
      </c>
      <c r="E2" s="69">
        <v>10799</v>
      </c>
      <c r="F2" s="69">
        <v>13112</v>
      </c>
      <c r="G2" s="69">
        <v>14431</v>
      </c>
      <c r="H2" s="69">
        <v>18790</v>
      </c>
      <c r="I2" s="69">
        <v>14523</v>
      </c>
      <c r="J2" s="69">
        <v>12031</v>
      </c>
      <c r="K2" s="69">
        <v>9880</v>
      </c>
      <c r="L2" s="69">
        <v>10188</v>
      </c>
      <c r="M2" s="69">
        <v>7793</v>
      </c>
      <c r="N2" s="69">
        <v>6161</v>
      </c>
      <c r="O2" s="69">
        <v>10036</v>
      </c>
      <c r="P2" s="69">
        <v>12652</v>
      </c>
      <c r="Q2" s="69">
        <v>12328</v>
      </c>
      <c r="R2" s="69">
        <v>17404</v>
      </c>
      <c r="S2" s="69">
        <v>15154</v>
      </c>
      <c r="T2" s="69">
        <v>17076</v>
      </c>
      <c r="U2" s="69">
        <v>15652</v>
      </c>
      <c r="V2" s="69">
        <v>13210</v>
      </c>
      <c r="W2" s="69">
        <v>11017</v>
      </c>
      <c r="X2" s="69">
        <v>11528</v>
      </c>
      <c r="Y2" s="69">
        <v>8777</v>
      </c>
      <c r="Z2" s="69">
        <v>7658</v>
      </c>
      <c r="AA2" s="69">
        <v>10420</v>
      </c>
      <c r="AB2" s="69">
        <v>15529</v>
      </c>
      <c r="AC2" s="69">
        <v>13470</v>
      </c>
      <c r="AD2" s="69">
        <v>15248</v>
      </c>
      <c r="AE2" s="68">
        <v>20413</v>
      </c>
      <c r="AF2" s="68">
        <v>19620</v>
      </c>
      <c r="AG2" s="68">
        <v>13338</v>
      </c>
      <c r="AH2" s="68">
        <v>11374</v>
      </c>
      <c r="AI2" s="68">
        <v>12653</v>
      </c>
      <c r="AJ2" s="68">
        <v>12193</v>
      </c>
    </row>
    <row r="3" spans="1:36" ht="12.75">
      <c r="A3" s="5">
        <v>2</v>
      </c>
      <c r="B3" s="6" t="s">
        <v>27</v>
      </c>
      <c r="C3" s="7" t="s">
        <v>112</v>
      </c>
      <c r="D3" s="69">
        <v>8263</v>
      </c>
      <c r="E3" s="69">
        <v>7642</v>
      </c>
      <c r="F3" s="69">
        <v>9281</v>
      </c>
      <c r="G3" s="69">
        <v>10222</v>
      </c>
      <c r="H3" s="69">
        <v>13326</v>
      </c>
      <c r="I3" s="69">
        <v>11651</v>
      </c>
      <c r="J3" s="69">
        <v>9885</v>
      </c>
      <c r="K3" s="69">
        <v>7980</v>
      </c>
      <c r="L3" s="69">
        <v>7488</v>
      </c>
      <c r="M3" s="69">
        <v>6298</v>
      </c>
      <c r="N3" s="69">
        <v>5674</v>
      </c>
      <c r="O3" s="69">
        <v>7330</v>
      </c>
      <c r="P3" s="69">
        <v>8895</v>
      </c>
      <c r="Q3" s="69">
        <v>8301</v>
      </c>
      <c r="R3" s="69">
        <v>11887</v>
      </c>
      <c r="S3" s="69">
        <v>10818</v>
      </c>
      <c r="T3" s="69">
        <v>11582</v>
      </c>
      <c r="U3" s="69">
        <v>10817</v>
      </c>
      <c r="V3" s="69">
        <v>8978</v>
      </c>
      <c r="W3" s="69">
        <v>8045</v>
      </c>
      <c r="X3" s="69">
        <v>7739</v>
      </c>
      <c r="Y3" s="69">
        <v>6846</v>
      </c>
      <c r="Z3" s="69">
        <v>6643</v>
      </c>
      <c r="AA3" s="69">
        <v>7328</v>
      </c>
      <c r="AB3" s="69">
        <v>10228</v>
      </c>
      <c r="AC3" s="69">
        <v>9162</v>
      </c>
      <c r="AD3" s="69">
        <v>10281</v>
      </c>
      <c r="AE3" s="68">
        <v>14805</v>
      </c>
      <c r="AF3" s="68">
        <v>13415</v>
      </c>
      <c r="AG3" s="68">
        <v>10057</v>
      </c>
      <c r="AH3" s="68">
        <v>8551</v>
      </c>
      <c r="AI3" s="68">
        <v>9176</v>
      </c>
      <c r="AJ3" s="68">
        <v>8403</v>
      </c>
    </row>
    <row r="4" spans="1:36" ht="12.75">
      <c r="A4" s="5">
        <v>3</v>
      </c>
      <c r="B4" s="6" t="s">
        <v>28</v>
      </c>
      <c r="C4" s="7" t="s">
        <v>112</v>
      </c>
      <c r="D4" s="69">
        <v>682</v>
      </c>
      <c r="E4" s="69">
        <v>694</v>
      </c>
      <c r="F4" s="69">
        <v>604</v>
      </c>
      <c r="G4" s="69">
        <v>573</v>
      </c>
      <c r="H4" s="69">
        <v>523</v>
      </c>
      <c r="I4" s="69">
        <v>585</v>
      </c>
      <c r="J4" s="69">
        <v>601</v>
      </c>
      <c r="K4" s="69">
        <v>615</v>
      </c>
      <c r="L4" s="69">
        <v>699</v>
      </c>
      <c r="M4" s="69">
        <v>657</v>
      </c>
      <c r="N4" s="69">
        <v>672</v>
      </c>
      <c r="O4" s="69">
        <v>722</v>
      </c>
      <c r="P4" s="69">
        <v>520</v>
      </c>
      <c r="Q4" s="69">
        <v>522</v>
      </c>
      <c r="R4" s="69">
        <v>517</v>
      </c>
      <c r="S4" s="69">
        <v>512</v>
      </c>
      <c r="T4" s="69">
        <v>503</v>
      </c>
      <c r="U4" s="69">
        <v>664</v>
      </c>
      <c r="V4" s="69">
        <v>450</v>
      </c>
      <c r="W4" s="69">
        <v>546</v>
      </c>
      <c r="X4" s="69">
        <v>654</v>
      </c>
      <c r="Y4" s="69">
        <v>709</v>
      </c>
      <c r="Z4" s="69">
        <v>741</v>
      </c>
      <c r="AA4" s="69">
        <v>718</v>
      </c>
      <c r="AB4" s="69">
        <v>598</v>
      </c>
      <c r="AC4" s="69">
        <v>509</v>
      </c>
      <c r="AD4" s="69">
        <v>490</v>
      </c>
      <c r="AE4" s="68">
        <v>537</v>
      </c>
      <c r="AF4" s="68">
        <v>462</v>
      </c>
      <c r="AG4" s="68">
        <v>573</v>
      </c>
      <c r="AH4" s="68">
        <v>510</v>
      </c>
      <c r="AI4" s="68">
        <v>599</v>
      </c>
      <c r="AJ4" s="68">
        <v>603</v>
      </c>
    </row>
    <row r="5" spans="1:36" ht="12.75">
      <c r="A5" s="5">
        <v>4</v>
      </c>
      <c r="B5" s="6" t="s">
        <v>29</v>
      </c>
      <c r="C5" s="7" t="s">
        <v>112</v>
      </c>
      <c r="D5" s="69">
        <v>761</v>
      </c>
      <c r="E5" s="69">
        <v>766</v>
      </c>
      <c r="F5" s="69">
        <v>743</v>
      </c>
      <c r="G5" s="69">
        <v>661</v>
      </c>
      <c r="H5" s="69">
        <v>611</v>
      </c>
      <c r="I5" s="69">
        <v>681</v>
      </c>
      <c r="J5" s="69">
        <v>763</v>
      </c>
      <c r="K5" s="69">
        <v>820</v>
      </c>
      <c r="L5" s="69">
        <v>1008</v>
      </c>
      <c r="M5" s="69">
        <v>1015</v>
      </c>
      <c r="N5" s="69">
        <v>900</v>
      </c>
      <c r="O5" s="69">
        <v>894</v>
      </c>
      <c r="P5" s="69">
        <v>891</v>
      </c>
      <c r="Q5" s="69">
        <v>919</v>
      </c>
      <c r="R5" s="69">
        <v>797</v>
      </c>
      <c r="S5" s="69">
        <v>665</v>
      </c>
      <c r="T5" s="69">
        <v>670</v>
      </c>
      <c r="U5" s="69">
        <v>831</v>
      </c>
      <c r="V5" s="69">
        <v>715</v>
      </c>
      <c r="W5" s="69">
        <v>788</v>
      </c>
      <c r="X5" s="69">
        <v>873</v>
      </c>
      <c r="Y5" s="69">
        <v>969</v>
      </c>
      <c r="Z5" s="69">
        <v>939</v>
      </c>
      <c r="AA5" s="69">
        <v>846</v>
      </c>
      <c r="AB5" s="69">
        <v>905</v>
      </c>
      <c r="AC5" s="69">
        <v>838</v>
      </c>
      <c r="AD5" s="69">
        <v>625</v>
      </c>
      <c r="AE5" s="68">
        <v>714</v>
      </c>
      <c r="AF5" s="68">
        <v>573</v>
      </c>
      <c r="AG5" s="68">
        <v>723</v>
      </c>
      <c r="AH5" s="68">
        <v>679</v>
      </c>
      <c r="AI5" s="68">
        <v>820</v>
      </c>
      <c r="AJ5" s="68">
        <v>876</v>
      </c>
    </row>
    <row r="6" spans="1:36" ht="12.75">
      <c r="A6" s="5">
        <v>5</v>
      </c>
      <c r="B6" s="6" t="s">
        <v>30</v>
      </c>
      <c r="C6" s="7" t="s">
        <v>112</v>
      </c>
      <c r="D6" s="69">
        <v>546</v>
      </c>
      <c r="E6" s="69">
        <v>462</v>
      </c>
      <c r="F6" s="69">
        <v>633</v>
      </c>
      <c r="G6" s="69">
        <v>633</v>
      </c>
      <c r="H6" s="69">
        <v>886</v>
      </c>
      <c r="I6" s="69">
        <v>584</v>
      </c>
      <c r="J6" s="69">
        <v>579</v>
      </c>
      <c r="K6" s="69">
        <v>337</v>
      </c>
      <c r="L6" s="69">
        <v>400</v>
      </c>
      <c r="M6" s="69">
        <v>247</v>
      </c>
      <c r="N6" s="69">
        <v>181</v>
      </c>
      <c r="O6" s="69">
        <v>354</v>
      </c>
      <c r="P6" s="69">
        <v>426</v>
      </c>
      <c r="Q6" s="69">
        <v>394</v>
      </c>
      <c r="R6" s="69">
        <v>556</v>
      </c>
      <c r="S6" s="69">
        <v>460</v>
      </c>
      <c r="T6" s="69">
        <v>535</v>
      </c>
      <c r="U6" s="69">
        <v>476</v>
      </c>
      <c r="V6" s="69">
        <v>332</v>
      </c>
      <c r="W6" s="69">
        <v>281</v>
      </c>
      <c r="X6" s="69">
        <v>249</v>
      </c>
      <c r="Y6" s="69">
        <v>203</v>
      </c>
      <c r="Z6" s="69">
        <v>173</v>
      </c>
      <c r="AA6" s="69">
        <v>292</v>
      </c>
      <c r="AB6" s="69">
        <v>465</v>
      </c>
      <c r="AC6" s="69">
        <v>354</v>
      </c>
      <c r="AD6" s="69">
        <v>467</v>
      </c>
      <c r="AE6" s="68">
        <v>639</v>
      </c>
      <c r="AF6" s="68">
        <v>520</v>
      </c>
      <c r="AG6" s="68">
        <v>413</v>
      </c>
      <c r="AH6" s="68">
        <v>338</v>
      </c>
      <c r="AI6" s="68">
        <v>346</v>
      </c>
      <c r="AJ6" s="68">
        <v>324</v>
      </c>
    </row>
    <row r="7" spans="1:36" ht="12.75">
      <c r="A7" s="5">
        <v>6</v>
      </c>
      <c r="B7" s="6" t="s">
        <v>31</v>
      </c>
      <c r="C7" s="7" t="s">
        <v>112</v>
      </c>
      <c r="D7" s="69">
        <v>677</v>
      </c>
      <c r="E7" s="69">
        <v>592</v>
      </c>
      <c r="F7" s="69">
        <v>745</v>
      </c>
      <c r="G7" s="69">
        <v>768</v>
      </c>
      <c r="H7" s="69">
        <v>1026</v>
      </c>
      <c r="I7" s="69">
        <v>792</v>
      </c>
      <c r="J7" s="69">
        <v>671</v>
      </c>
      <c r="K7" s="69">
        <v>430</v>
      </c>
      <c r="L7" s="69">
        <v>431</v>
      </c>
      <c r="M7" s="69">
        <v>307</v>
      </c>
      <c r="N7" s="69">
        <v>164</v>
      </c>
      <c r="O7" s="69">
        <v>331</v>
      </c>
      <c r="P7" s="69">
        <v>544</v>
      </c>
      <c r="Q7" s="69">
        <v>436</v>
      </c>
      <c r="R7" s="69">
        <v>690</v>
      </c>
      <c r="S7" s="69">
        <v>557</v>
      </c>
      <c r="T7" s="69">
        <v>689</v>
      </c>
      <c r="U7" s="69">
        <v>583</v>
      </c>
      <c r="V7" s="69">
        <v>427</v>
      </c>
      <c r="W7" s="69">
        <v>297</v>
      </c>
      <c r="X7" s="69">
        <v>316</v>
      </c>
      <c r="Y7" s="69">
        <v>223</v>
      </c>
      <c r="Z7" s="69">
        <v>164</v>
      </c>
      <c r="AA7" s="69">
        <v>272</v>
      </c>
      <c r="AB7" s="69">
        <v>383</v>
      </c>
      <c r="AC7" s="69">
        <v>245</v>
      </c>
      <c r="AD7" s="69">
        <v>235</v>
      </c>
      <c r="AE7" s="68">
        <v>310</v>
      </c>
      <c r="AF7" s="68">
        <v>259</v>
      </c>
      <c r="AG7" s="68">
        <v>94</v>
      </c>
      <c r="AH7" s="68">
        <v>85</v>
      </c>
      <c r="AI7" s="68">
        <v>80</v>
      </c>
      <c r="AJ7" s="68">
        <v>53</v>
      </c>
    </row>
    <row r="8" spans="1:36" ht="12.75">
      <c r="A8" s="5">
        <v>7</v>
      </c>
      <c r="B8" s="6" t="s">
        <v>32</v>
      </c>
      <c r="C8" s="7" t="s">
        <v>112</v>
      </c>
      <c r="D8" s="69">
        <v>1462</v>
      </c>
      <c r="E8" s="69">
        <v>1201</v>
      </c>
      <c r="F8" s="69">
        <v>1641</v>
      </c>
      <c r="G8" s="69">
        <v>1740</v>
      </c>
      <c r="H8" s="69">
        <v>2337</v>
      </c>
      <c r="I8" s="69">
        <v>1705</v>
      </c>
      <c r="J8" s="69">
        <v>1436</v>
      </c>
      <c r="K8" s="69">
        <v>1057</v>
      </c>
      <c r="L8" s="69">
        <v>1061</v>
      </c>
      <c r="M8" s="69">
        <v>702</v>
      </c>
      <c r="N8" s="69">
        <v>490</v>
      </c>
      <c r="O8" s="69">
        <v>1040</v>
      </c>
      <c r="P8" s="69">
        <v>1396</v>
      </c>
      <c r="Q8" s="69">
        <v>1259</v>
      </c>
      <c r="R8" s="69">
        <v>1802</v>
      </c>
      <c r="S8" s="69">
        <v>1542</v>
      </c>
      <c r="T8" s="69">
        <v>1900</v>
      </c>
      <c r="U8" s="69">
        <v>1623</v>
      </c>
      <c r="V8" s="69">
        <v>1166</v>
      </c>
      <c r="W8" s="69">
        <v>886</v>
      </c>
      <c r="X8" s="69">
        <v>927</v>
      </c>
      <c r="Y8" s="69">
        <v>621</v>
      </c>
      <c r="Z8" s="69">
        <v>550</v>
      </c>
      <c r="AA8" s="69">
        <v>992</v>
      </c>
      <c r="AB8" s="69">
        <v>1572</v>
      </c>
      <c r="AC8" s="69">
        <v>1293</v>
      </c>
      <c r="AD8" s="69">
        <v>1577</v>
      </c>
      <c r="AE8" s="68">
        <v>2267</v>
      </c>
      <c r="AF8" s="68">
        <v>2079</v>
      </c>
      <c r="AG8" s="68">
        <v>1380</v>
      </c>
      <c r="AH8" s="68">
        <v>1125</v>
      </c>
      <c r="AI8" s="68">
        <v>1148</v>
      </c>
      <c r="AJ8" s="68">
        <v>1007</v>
      </c>
    </row>
    <row r="9" spans="1:36" ht="12.75">
      <c r="A9" s="5">
        <v>8</v>
      </c>
      <c r="B9" s="6" t="s">
        <v>33</v>
      </c>
      <c r="C9" s="7" t="s">
        <v>112</v>
      </c>
      <c r="D9" s="69">
        <v>3826</v>
      </c>
      <c r="E9" s="69">
        <v>3427</v>
      </c>
      <c r="F9" s="69">
        <v>4291</v>
      </c>
      <c r="G9" s="69">
        <v>4865</v>
      </c>
      <c r="H9" s="69">
        <v>6658</v>
      </c>
      <c r="I9" s="69">
        <v>5511</v>
      </c>
      <c r="J9" s="69">
        <v>3920</v>
      </c>
      <c r="K9" s="69">
        <v>2795</v>
      </c>
      <c r="L9" s="69">
        <v>2437</v>
      </c>
      <c r="M9" s="69">
        <v>1501</v>
      </c>
      <c r="N9" s="69">
        <v>1417</v>
      </c>
      <c r="O9" s="69">
        <v>2357</v>
      </c>
      <c r="P9" s="69">
        <v>2925</v>
      </c>
      <c r="Q9" s="69">
        <v>2581</v>
      </c>
      <c r="R9" s="69">
        <v>3589</v>
      </c>
      <c r="S9" s="69">
        <v>3681</v>
      </c>
      <c r="T9" s="69">
        <v>3704</v>
      </c>
      <c r="U9" s="69">
        <v>3326</v>
      </c>
      <c r="V9" s="69">
        <v>2486</v>
      </c>
      <c r="W9" s="69">
        <v>1944</v>
      </c>
      <c r="X9" s="69">
        <v>1677</v>
      </c>
      <c r="Y9" s="69">
        <v>1184</v>
      </c>
      <c r="Z9" s="69">
        <v>1279</v>
      </c>
      <c r="AA9" s="69">
        <v>1673</v>
      </c>
      <c r="AB9" s="69">
        <v>2455</v>
      </c>
      <c r="AC9" s="69">
        <v>2276</v>
      </c>
      <c r="AD9" s="69">
        <v>2544</v>
      </c>
      <c r="AE9" s="68">
        <v>4081</v>
      </c>
      <c r="AF9" s="68">
        <v>3625</v>
      </c>
      <c r="AG9" s="68">
        <v>2440</v>
      </c>
      <c r="AH9" s="68">
        <v>1956</v>
      </c>
      <c r="AI9" s="68">
        <v>1969</v>
      </c>
      <c r="AJ9" s="68">
        <v>1679</v>
      </c>
    </row>
    <row r="10" spans="1:36" ht="12.75">
      <c r="A10" s="5">
        <v>9</v>
      </c>
      <c r="B10" s="6" t="s">
        <v>34</v>
      </c>
      <c r="C10" s="7" t="s">
        <v>112</v>
      </c>
      <c r="D10" s="69">
        <v>2492</v>
      </c>
      <c r="E10" s="69">
        <v>2287</v>
      </c>
      <c r="F10" s="69">
        <v>3013</v>
      </c>
      <c r="G10" s="69">
        <v>3182</v>
      </c>
      <c r="H10" s="69">
        <v>4034</v>
      </c>
      <c r="I10" s="69">
        <v>3500</v>
      </c>
      <c r="J10" s="69">
        <v>3123</v>
      </c>
      <c r="K10" s="69">
        <v>2259</v>
      </c>
      <c r="L10" s="69">
        <v>2194</v>
      </c>
      <c r="M10" s="69">
        <v>1740</v>
      </c>
      <c r="N10" s="69">
        <v>1351</v>
      </c>
      <c r="O10" s="69">
        <v>1953</v>
      </c>
      <c r="P10" s="69">
        <v>2295</v>
      </c>
      <c r="Q10" s="69">
        <v>2140</v>
      </c>
      <c r="R10" s="69">
        <v>2805</v>
      </c>
      <c r="S10" s="69">
        <v>2429</v>
      </c>
      <c r="T10" s="69">
        <v>2665</v>
      </c>
      <c r="U10" s="69">
        <v>2649</v>
      </c>
      <c r="V10" s="69">
        <v>2139</v>
      </c>
      <c r="W10" s="69">
        <v>1838</v>
      </c>
      <c r="X10" s="69">
        <v>1835</v>
      </c>
      <c r="Y10" s="69">
        <v>1696</v>
      </c>
      <c r="Z10" s="69">
        <v>1566</v>
      </c>
      <c r="AA10" s="69">
        <v>1922</v>
      </c>
      <c r="AB10" s="69">
        <v>2468</v>
      </c>
      <c r="AC10" s="69">
        <v>2178</v>
      </c>
      <c r="AD10" s="69">
        <v>2542</v>
      </c>
      <c r="AE10" s="68">
        <v>3276</v>
      </c>
      <c r="AF10" s="68">
        <v>2980</v>
      </c>
      <c r="AG10" s="68">
        <v>2353</v>
      </c>
      <c r="AH10" s="68">
        <v>1895</v>
      </c>
      <c r="AI10" s="68">
        <v>2078</v>
      </c>
      <c r="AJ10" s="68">
        <v>2021</v>
      </c>
    </row>
    <row r="11" spans="1:36" ht="12.75">
      <c r="A11" s="5">
        <v>10</v>
      </c>
      <c r="B11" s="6" t="s">
        <v>35</v>
      </c>
      <c r="C11" s="7" t="s">
        <v>112</v>
      </c>
      <c r="D11" s="69">
        <v>8193</v>
      </c>
      <c r="E11" s="69">
        <v>7282</v>
      </c>
      <c r="F11" s="69">
        <v>9981</v>
      </c>
      <c r="G11" s="69">
        <v>10951</v>
      </c>
      <c r="H11" s="69">
        <v>14165</v>
      </c>
      <c r="I11" s="69">
        <v>11295</v>
      </c>
      <c r="J11" s="69">
        <v>9989</v>
      </c>
      <c r="K11" s="69">
        <v>7037</v>
      </c>
      <c r="L11" s="69">
        <v>6856</v>
      </c>
      <c r="M11" s="69">
        <v>4816</v>
      </c>
      <c r="N11" s="69">
        <v>3795</v>
      </c>
      <c r="O11" s="69">
        <v>5987</v>
      </c>
      <c r="P11" s="69">
        <v>7842</v>
      </c>
      <c r="Q11" s="69">
        <v>6532</v>
      </c>
      <c r="R11" s="69">
        <v>10146</v>
      </c>
      <c r="S11" s="69">
        <v>8816</v>
      </c>
      <c r="T11" s="69">
        <v>10881</v>
      </c>
      <c r="U11" s="69">
        <v>9478</v>
      </c>
      <c r="V11" s="69">
        <v>8186</v>
      </c>
      <c r="W11" s="69">
        <v>6356</v>
      </c>
      <c r="X11" s="69">
        <v>6121</v>
      </c>
      <c r="Y11" s="69">
        <v>5296</v>
      </c>
      <c r="Z11" s="69">
        <v>4319</v>
      </c>
      <c r="AA11" s="69">
        <v>5484</v>
      </c>
      <c r="AB11" s="69">
        <v>9115</v>
      </c>
      <c r="AC11" s="69">
        <v>8075</v>
      </c>
      <c r="AD11" s="69">
        <v>10274</v>
      </c>
      <c r="AE11" s="68">
        <v>14313</v>
      </c>
      <c r="AF11" s="68">
        <v>13672</v>
      </c>
      <c r="AG11" s="68">
        <v>9165</v>
      </c>
      <c r="AH11" s="68">
        <v>7303</v>
      </c>
      <c r="AI11" s="68">
        <v>7657</v>
      </c>
      <c r="AJ11" s="68">
        <v>7070</v>
      </c>
    </row>
    <row r="12" spans="1:36" ht="12.75">
      <c r="A12" s="5">
        <v>11</v>
      </c>
      <c r="B12" s="6" t="s">
        <v>36</v>
      </c>
      <c r="C12" s="7" t="s">
        <v>112</v>
      </c>
      <c r="D12" s="69">
        <v>1067</v>
      </c>
      <c r="E12" s="69">
        <v>957</v>
      </c>
      <c r="F12" s="69">
        <v>1090</v>
      </c>
      <c r="G12" s="69">
        <v>1262</v>
      </c>
      <c r="H12" s="69">
        <v>1510</v>
      </c>
      <c r="I12" s="69">
        <v>1177</v>
      </c>
      <c r="J12" s="69">
        <v>780</v>
      </c>
      <c r="K12" s="69">
        <v>604</v>
      </c>
      <c r="L12" s="69">
        <v>414</v>
      </c>
      <c r="M12" s="69">
        <v>288</v>
      </c>
      <c r="N12" s="69">
        <v>268</v>
      </c>
      <c r="O12" s="69">
        <v>487</v>
      </c>
      <c r="P12" s="69">
        <v>571</v>
      </c>
      <c r="Q12" s="69">
        <v>480</v>
      </c>
      <c r="R12" s="69">
        <v>704</v>
      </c>
      <c r="S12" s="69">
        <v>731</v>
      </c>
      <c r="T12" s="69">
        <v>824</v>
      </c>
      <c r="U12" s="69">
        <v>778</v>
      </c>
      <c r="V12" s="69">
        <v>464</v>
      </c>
      <c r="W12" s="69">
        <v>398</v>
      </c>
      <c r="X12" s="69">
        <v>323</v>
      </c>
      <c r="Y12" s="69">
        <v>267</v>
      </c>
      <c r="Z12" s="69">
        <v>293</v>
      </c>
      <c r="AA12" s="69">
        <v>399</v>
      </c>
      <c r="AB12" s="69">
        <v>636</v>
      </c>
      <c r="AC12" s="69">
        <v>610</v>
      </c>
      <c r="AD12" s="69">
        <v>581</v>
      </c>
      <c r="AE12" s="68">
        <v>1011</v>
      </c>
      <c r="AF12" s="68">
        <v>897</v>
      </c>
      <c r="AG12" s="68">
        <v>581</v>
      </c>
      <c r="AH12" s="68">
        <v>419</v>
      </c>
      <c r="AI12" s="68">
        <v>391</v>
      </c>
      <c r="AJ12" s="68">
        <v>299</v>
      </c>
    </row>
    <row r="13" spans="1:36" ht="12.75">
      <c r="A13" s="5">
        <v>12</v>
      </c>
      <c r="B13" s="6" t="s">
        <v>37</v>
      </c>
      <c r="C13" s="7" t="s">
        <v>112</v>
      </c>
      <c r="D13" s="69">
        <v>1163</v>
      </c>
      <c r="E13" s="69">
        <v>1137</v>
      </c>
      <c r="F13" s="69">
        <v>1272</v>
      </c>
      <c r="G13" s="69">
        <v>1607</v>
      </c>
      <c r="H13" s="69">
        <v>2177</v>
      </c>
      <c r="I13" s="69">
        <v>2087</v>
      </c>
      <c r="J13" s="69">
        <v>1191</v>
      </c>
      <c r="K13" s="69">
        <v>1074</v>
      </c>
      <c r="L13" s="69">
        <v>823</v>
      </c>
      <c r="M13" s="69">
        <v>589</v>
      </c>
      <c r="N13" s="69">
        <v>670</v>
      </c>
      <c r="O13" s="69">
        <v>802</v>
      </c>
      <c r="P13" s="69">
        <v>983</v>
      </c>
      <c r="Q13" s="69">
        <v>992</v>
      </c>
      <c r="R13" s="69">
        <v>1265</v>
      </c>
      <c r="S13" s="69">
        <v>1508</v>
      </c>
      <c r="T13" s="69">
        <v>1311</v>
      </c>
      <c r="U13" s="69">
        <v>1548</v>
      </c>
      <c r="V13" s="69">
        <v>932</v>
      </c>
      <c r="W13" s="69">
        <v>908</v>
      </c>
      <c r="X13" s="69">
        <v>844</v>
      </c>
      <c r="Y13" s="69">
        <v>619</v>
      </c>
      <c r="Z13" s="69">
        <v>674</v>
      </c>
      <c r="AA13" s="69">
        <v>783</v>
      </c>
      <c r="AB13" s="69">
        <v>1078</v>
      </c>
      <c r="AC13" s="69">
        <v>1004</v>
      </c>
      <c r="AD13" s="69">
        <v>1093</v>
      </c>
      <c r="AE13" s="68">
        <v>1956</v>
      </c>
      <c r="AF13" s="68">
        <v>1684</v>
      </c>
      <c r="AG13" s="68">
        <v>1208</v>
      </c>
      <c r="AH13" s="68">
        <v>929</v>
      </c>
      <c r="AI13" s="68">
        <v>954</v>
      </c>
      <c r="AJ13" s="68">
        <v>859</v>
      </c>
    </row>
    <row r="14" spans="1:36" ht="12.75">
      <c r="A14" s="5">
        <v>13</v>
      </c>
      <c r="B14" s="6" t="s">
        <v>38</v>
      </c>
      <c r="C14" s="7" t="s">
        <v>112</v>
      </c>
      <c r="D14" s="69">
        <v>1844</v>
      </c>
      <c r="E14" s="69">
        <v>1716</v>
      </c>
      <c r="F14" s="69">
        <v>2060</v>
      </c>
      <c r="G14" s="69">
        <v>2523</v>
      </c>
      <c r="H14" s="69">
        <v>3520</v>
      </c>
      <c r="I14" s="69">
        <v>2586</v>
      </c>
      <c r="J14" s="69">
        <v>1827</v>
      </c>
      <c r="K14" s="69">
        <v>1519</v>
      </c>
      <c r="L14" s="69">
        <v>1361</v>
      </c>
      <c r="M14" s="69">
        <v>882</v>
      </c>
      <c r="N14" s="69">
        <v>836</v>
      </c>
      <c r="O14" s="69">
        <v>1421</v>
      </c>
      <c r="P14" s="69">
        <v>1713</v>
      </c>
      <c r="Q14" s="69">
        <v>1335</v>
      </c>
      <c r="R14" s="69">
        <v>1919</v>
      </c>
      <c r="S14" s="69">
        <v>1901</v>
      </c>
      <c r="T14" s="69">
        <v>1933</v>
      </c>
      <c r="U14" s="69">
        <v>1839</v>
      </c>
      <c r="V14" s="69">
        <v>1345</v>
      </c>
      <c r="W14" s="69">
        <v>1126</v>
      </c>
      <c r="X14" s="69">
        <v>988</v>
      </c>
      <c r="Y14" s="69">
        <v>720</v>
      </c>
      <c r="Z14" s="69">
        <v>798</v>
      </c>
      <c r="AA14" s="69">
        <v>1065</v>
      </c>
      <c r="AB14" s="69">
        <v>1549</v>
      </c>
      <c r="AC14" s="69">
        <v>1323</v>
      </c>
      <c r="AD14" s="69">
        <v>1473</v>
      </c>
      <c r="AE14" s="68">
        <v>2467</v>
      </c>
      <c r="AF14" s="68">
        <v>2334</v>
      </c>
      <c r="AG14" s="68">
        <v>1451</v>
      </c>
      <c r="AH14" s="68">
        <v>1110</v>
      </c>
      <c r="AI14" s="68">
        <v>1198</v>
      </c>
      <c r="AJ14" s="68">
        <v>991</v>
      </c>
    </row>
    <row r="15" spans="1:36" ht="12.75">
      <c r="A15" s="5">
        <v>14</v>
      </c>
      <c r="B15" s="6" t="s">
        <v>39</v>
      </c>
      <c r="C15" s="7" t="s">
        <v>112</v>
      </c>
      <c r="D15" s="69">
        <v>1559</v>
      </c>
      <c r="E15" s="69">
        <v>1264</v>
      </c>
      <c r="F15" s="69">
        <v>1739</v>
      </c>
      <c r="G15" s="69">
        <v>1916</v>
      </c>
      <c r="H15" s="69">
        <v>2672</v>
      </c>
      <c r="I15" s="69">
        <v>1946</v>
      </c>
      <c r="J15" s="69">
        <v>1780</v>
      </c>
      <c r="K15" s="69">
        <v>1252</v>
      </c>
      <c r="L15" s="69">
        <v>1385</v>
      </c>
      <c r="M15" s="69">
        <v>928</v>
      </c>
      <c r="N15" s="69">
        <v>662</v>
      </c>
      <c r="O15" s="69">
        <v>1108</v>
      </c>
      <c r="P15" s="69">
        <v>1512</v>
      </c>
      <c r="Q15" s="69">
        <v>1352</v>
      </c>
      <c r="R15" s="69">
        <v>2012</v>
      </c>
      <c r="S15" s="69">
        <v>1464</v>
      </c>
      <c r="T15" s="69">
        <v>1828</v>
      </c>
      <c r="U15" s="69">
        <v>1684</v>
      </c>
      <c r="V15" s="69">
        <v>1282</v>
      </c>
      <c r="W15" s="69">
        <v>944</v>
      </c>
      <c r="X15" s="69">
        <v>961</v>
      </c>
      <c r="Y15" s="69">
        <v>835</v>
      </c>
      <c r="Z15" s="69">
        <v>573</v>
      </c>
      <c r="AA15" s="69">
        <v>863</v>
      </c>
      <c r="AB15" s="69">
        <v>1290</v>
      </c>
      <c r="AC15" s="69">
        <v>1160</v>
      </c>
      <c r="AD15" s="69">
        <v>1438</v>
      </c>
      <c r="AE15" s="68">
        <v>1821</v>
      </c>
      <c r="AF15" s="68">
        <v>1777</v>
      </c>
      <c r="AG15" s="68">
        <v>1117</v>
      </c>
      <c r="AH15" s="68">
        <v>907</v>
      </c>
      <c r="AI15" s="68">
        <v>1076</v>
      </c>
      <c r="AJ15" s="68">
        <v>1086</v>
      </c>
    </row>
    <row r="16" spans="1:36" ht="25.5">
      <c r="A16" s="5">
        <v>15</v>
      </c>
      <c r="B16" s="6" t="s">
        <v>40</v>
      </c>
      <c r="C16" s="7" t="s">
        <v>112</v>
      </c>
      <c r="D16" s="69">
        <v>5111</v>
      </c>
      <c r="E16" s="69">
        <v>4729</v>
      </c>
      <c r="F16" s="69">
        <v>6105</v>
      </c>
      <c r="G16" s="69">
        <v>6588</v>
      </c>
      <c r="H16" s="69">
        <v>9693</v>
      </c>
      <c r="I16" s="69">
        <v>7405</v>
      </c>
      <c r="J16" s="69">
        <v>5488</v>
      </c>
      <c r="K16" s="69">
        <v>4301</v>
      </c>
      <c r="L16" s="69">
        <v>3869</v>
      </c>
      <c r="M16" s="69">
        <v>2691</v>
      </c>
      <c r="N16" s="69">
        <v>2348</v>
      </c>
      <c r="O16" s="69">
        <v>4561</v>
      </c>
      <c r="P16" s="69">
        <v>6380</v>
      </c>
      <c r="Q16" s="69">
        <v>5058</v>
      </c>
      <c r="R16" s="69">
        <v>7046</v>
      </c>
      <c r="S16" s="69">
        <v>6155</v>
      </c>
      <c r="T16" s="69">
        <v>6522</v>
      </c>
      <c r="U16" s="69">
        <v>5932</v>
      </c>
      <c r="V16" s="69">
        <v>4791</v>
      </c>
      <c r="W16" s="69">
        <v>4111</v>
      </c>
      <c r="X16" s="69">
        <v>3732</v>
      </c>
      <c r="Y16" s="69">
        <v>2523</v>
      </c>
      <c r="Z16" s="69">
        <v>2433</v>
      </c>
      <c r="AA16" s="69">
        <v>3472</v>
      </c>
      <c r="AB16" s="69">
        <v>5953</v>
      </c>
      <c r="AC16" s="69">
        <v>5202</v>
      </c>
      <c r="AD16" s="69">
        <v>6031</v>
      </c>
      <c r="AE16" s="68">
        <v>8592</v>
      </c>
      <c r="AF16" s="68">
        <v>8073</v>
      </c>
      <c r="AG16" s="68">
        <v>4964</v>
      </c>
      <c r="AH16" s="68">
        <v>4167</v>
      </c>
      <c r="AI16" s="68">
        <v>4057</v>
      </c>
      <c r="AJ16" s="68">
        <v>3897</v>
      </c>
    </row>
    <row r="17" spans="1:36" ht="12.75">
      <c r="A17" s="5">
        <v>16</v>
      </c>
      <c r="B17" s="6" t="s">
        <v>41</v>
      </c>
      <c r="C17" s="7" t="s">
        <v>112</v>
      </c>
      <c r="D17" s="69">
        <v>3392</v>
      </c>
      <c r="E17" s="69">
        <v>3221</v>
      </c>
      <c r="F17" s="69">
        <v>3625</v>
      </c>
      <c r="G17" s="69">
        <v>3789</v>
      </c>
      <c r="H17" s="69">
        <v>4540</v>
      </c>
      <c r="I17" s="69">
        <v>3840</v>
      </c>
      <c r="J17" s="69">
        <v>3253</v>
      </c>
      <c r="K17" s="69">
        <v>2744</v>
      </c>
      <c r="L17" s="69">
        <v>2589</v>
      </c>
      <c r="M17" s="69">
        <v>1918</v>
      </c>
      <c r="N17" s="69">
        <v>1638</v>
      </c>
      <c r="O17" s="69">
        <v>2513</v>
      </c>
      <c r="P17" s="69">
        <v>2848</v>
      </c>
      <c r="Q17" s="69">
        <v>2360</v>
      </c>
      <c r="R17" s="69">
        <v>3022</v>
      </c>
      <c r="S17" s="69">
        <v>2804</v>
      </c>
      <c r="T17" s="69">
        <v>3049</v>
      </c>
      <c r="U17" s="69">
        <v>2909</v>
      </c>
      <c r="V17" s="69">
        <v>2216</v>
      </c>
      <c r="W17" s="69">
        <v>2038</v>
      </c>
      <c r="X17" s="69">
        <v>2012</v>
      </c>
      <c r="Y17" s="69">
        <v>1625</v>
      </c>
      <c r="Z17" s="69">
        <v>1501</v>
      </c>
      <c r="AA17" s="69">
        <v>1964</v>
      </c>
      <c r="AB17" s="69">
        <v>2823</v>
      </c>
      <c r="AC17" s="69">
        <v>2602</v>
      </c>
      <c r="AD17" s="69">
        <v>2799</v>
      </c>
      <c r="AE17" s="68">
        <v>3432</v>
      </c>
      <c r="AF17" s="68">
        <v>3139</v>
      </c>
      <c r="AG17" s="68">
        <v>2346</v>
      </c>
      <c r="AH17" s="68">
        <v>1958</v>
      </c>
      <c r="AI17" s="68">
        <v>1954</v>
      </c>
      <c r="AJ17" s="68">
        <v>2057</v>
      </c>
    </row>
    <row r="18" spans="1:36" ht="12.75">
      <c r="A18" s="5">
        <v>17</v>
      </c>
      <c r="B18" s="6" t="s">
        <v>42</v>
      </c>
      <c r="C18" s="7" t="s">
        <v>112</v>
      </c>
      <c r="D18" s="69">
        <v>2946</v>
      </c>
      <c r="E18" s="69">
        <v>2538</v>
      </c>
      <c r="F18" s="69">
        <v>3207</v>
      </c>
      <c r="G18" s="69">
        <v>3241</v>
      </c>
      <c r="H18" s="69">
        <v>3900</v>
      </c>
      <c r="I18" s="69">
        <v>3182</v>
      </c>
      <c r="J18" s="69">
        <v>2089</v>
      </c>
      <c r="K18" s="69">
        <v>1664</v>
      </c>
      <c r="L18" s="69">
        <v>1274</v>
      </c>
      <c r="M18" s="69">
        <v>764</v>
      </c>
      <c r="N18" s="69">
        <v>712</v>
      </c>
      <c r="O18" s="69">
        <v>1238</v>
      </c>
      <c r="P18" s="69">
        <v>1916</v>
      </c>
      <c r="Q18" s="69">
        <v>1546</v>
      </c>
      <c r="R18" s="69">
        <v>2186</v>
      </c>
      <c r="S18" s="69">
        <v>2089</v>
      </c>
      <c r="T18" s="69">
        <v>1979</v>
      </c>
      <c r="U18" s="69">
        <v>2060</v>
      </c>
      <c r="V18" s="69">
        <v>1371</v>
      </c>
      <c r="W18" s="69">
        <v>1235</v>
      </c>
      <c r="X18" s="69">
        <v>1295</v>
      </c>
      <c r="Y18" s="69">
        <v>753</v>
      </c>
      <c r="Z18" s="69">
        <v>813</v>
      </c>
      <c r="AA18" s="69">
        <v>1210</v>
      </c>
      <c r="AB18" s="69">
        <v>2326</v>
      </c>
      <c r="AC18" s="69">
        <v>2111</v>
      </c>
      <c r="AD18" s="69">
        <v>2253</v>
      </c>
      <c r="AE18" s="68">
        <v>3389</v>
      </c>
      <c r="AF18" s="68">
        <v>2720</v>
      </c>
      <c r="AG18" s="68">
        <v>1696</v>
      </c>
      <c r="AH18" s="68">
        <v>1143</v>
      </c>
      <c r="AI18" s="68">
        <v>675</v>
      </c>
      <c r="AJ18" s="68">
        <v>567</v>
      </c>
    </row>
    <row r="19" spans="1:36" ht="12.75">
      <c r="A19" s="5">
        <v>18</v>
      </c>
      <c r="B19" s="6" t="s">
        <v>43</v>
      </c>
      <c r="C19" s="7" t="s">
        <v>112</v>
      </c>
      <c r="D19" s="69">
        <v>1180</v>
      </c>
      <c r="E19" s="69">
        <v>1131</v>
      </c>
      <c r="F19" s="69">
        <v>1206</v>
      </c>
      <c r="G19" s="69">
        <v>1132</v>
      </c>
      <c r="H19" s="69">
        <v>1084</v>
      </c>
      <c r="I19" s="69">
        <v>1317</v>
      </c>
      <c r="J19" s="69">
        <v>1123</v>
      </c>
      <c r="K19" s="69">
        <v>1120</v>
      </c>
      <c r="L19" s="69">
        <v>1024</v>
      </c>
      <c r="M19" s="69">
        <v>949</v>
      </c>
      <c r="N19" s="69">
        <v>948</v>
      </c>
      <c r="O19" s="69">
        <v>1196</v>
      </c>
      <c r="P19" s="69">
        <v>1103</v>
      </c>
      <c r="Q19" s="69">
        <v>1209</v>
      </c>
      <c r="R19" s="69">
        <v>1173</v>
      </c>
      <c r="S19" s="69">
        <v>1145</v>
      </c>
      <c r="T19" s="69">
        <v>1081</v>
      </c>
      <c r="U19" s="69">
        <v>1406</v>
      </c>
      <c r="V19" s="69">
        <v>1067</v>
      </c>
      <c r="W19" s="69">
        <v>1114</v>
      </c>
      <c r="X19" s="69">
        <v>1108</v>
      </c>
      <c r="Y19" s="69">
        <v>960</v>
      </c>
      <c r="Z19" s="69">
        <v>1053</v>
      </c>
      <c r="AA19" s="69">
        <v>1216</v>
      </c>
      <c r="AB19" s="69">
        <v>1377</v>
      </c>
      <c r="AC19" s="69">
        <v>1270</v>
      </c>
      <c r="AD19" s="69">
        <v>1085</v>
      </c>
      <c r="AE19" s="68">
        <v>1478</v>
      </c>
      <c r="AF19" s="68">
        <v>1241</v>
      </c>
      <c r="AG19" s="68">
        <v>1300</v>
      </c>
      <c r="AH19" s="68">
        <v>1082</v>
      </c>
      <c r="AI19" s="68">
        <v>1284</v>
      </c>
      <c r="AJ19" s="68">
        <v>1223</v>
      </c>
    </row>
    <row r="20" spans="1:36" ht="12.75">
      <c r="A20" s="5">
        <v>19</v>
      </c>
      <c r="B20" s="6" t="s">
        <v>44</v>
      </c>
      <c r="C20" s="7" t="s">
        <v>112</v>
      </c>
      <c r="D20" s="69">
        <v>912</v>
      </c>
      <c r="E20" s="69">
        <v>935</v>
      </c>
      <c r="F20" s="69">
        <v>1075</v>
      </c>
      <c r="G20" s="69">
        <v>1251</v>
      </c>
      <c r="H20" s="69">
        <v>1455</v>
      </c>
      <c r="I20" s="69">
        <v>1452</v>
      </c>
      <c r="J20" s="69">
        <v>1012</v>
      </c>
      <c r="K20" s="69">
        <v>881</v>
      </c>
      <c r="L20" s="69">
        <v>642</v>
      </c>
      <c r="M20" s="69">
        <v>470</v>
      </c>
      <c r="N20" s="69">
        <v>428</v>
      </c>
      <c r="O20" s="69">
        <v>677</v>
      </c>
      <c r="P20" s="69">
        <v>871</v>
      </c>
      <c r="Q20" s="69">
        <v>808</v>
      </c>
      <c r="R20" s="69">
        <v>1097</v>
      </c>
      <c r="S20" s="69">
        <v>1260</v>
      </c>
      <c r="T20" s="69">
        <v>1126</v>
      </c>
      <c r="U20" s="69">
        <v>1270</v>
      </c>
      <c r="V20" s="69">
        <v>850</v>
      </c>
      <c r="W20" s="69">
        <v>790</v>
      </c>
      <c r="X20" s="69">
        <v>761</v>
      </c>
      <c r="Y20" s="69">
        <v>515</v>
      </c>
      <c r="Z20" s="69">
        <v>553</v>
      </c>
      <c r="AA20" s="69">
        <v>778</v>
      </c>
      <c r="AB20" s="69">
        <v>1221</v>
      </c>
      <c r="AC20" s="69">
        <v>1113</v>
      </c>
      <c r="AD20" s="69">
        <v>1205</v>
      </c>
      <c r="AE20" s="68">
        <v>2001</v>
      </c>
      <c r="AF20" s="68">
        <v>1731</v>
      </c>
      <c r="AG20" s="68">
        <v>1375</v>
      </c>
      <c r="AH20" s="68">
        <v>1041</v>
      </c>
      <c r="AI20" s="68">
        <v>973</v>
      </c>
      <c r="AJ20" s="68">
        <v>867</v>
      </c>
    </row>
    <row r="21" spans="1:36" ht="12.75">
      <c r="A21" s="5">
        <v>20</v>
      </c>
      <c r="B21" s="6" t="s">
        <v>45</v>
      </c>
      <c r="C21" s="7" t="s">
        <v>112</v>
      </c>
      <c r="D21" s="69">
        <v>1110</v>
      </c>
      <c r="E21" s="69">
        <v>1156</v>
      </c>
      <c r="F21" s="69">
        <v>1385</v>
      </c>
      <c r="G21" s="69">
        <v>1364</v>
      </c>
      <c r="H21" s="69">
        <v>1770</v>
      </c>
      <c r="I21" s="69">
        <v>1714</v>
      </c>
      <c r="J21" s="69">
        <v>1224</v>
      </c>
      <c r="K21" s="69">
        <v>892</v>
      </c>
      <c r="L21" s="69">
        <v>655</v>
      </c>
      <c r="M21" s="69">
        <v>371</v>
      </c>
      <c r="N21" s="69">
        <v>359</v>
      </c>
      <c r="O21" s="69">
        <v>689</v>
      </c>
      <c r="P21" s="69">
        <v>913</v>
      </c>
      <c r="Q21" s="69">
        <v>905</v>
      </c>
      <c r="R21" s="69">
        <v>1169</v>
      </c>
      <c r="S21" s="69">
        <v>1143</v>
      </c>
      <c r="T21" s="69">
        <v>1185</v>
      </c>
      <c r="U21" s="69">
        <v>1266</v>
      </c>
      <c r="V21" s="69">
        <v>810</v>
      </c>
      <c r="W21" s="69">
        <v>751</v>
      </c>
      <c r="X21" s="69">
        <v>640</v>
      </c>
      <c r="Y21" s="69">
        <v>350</v>
      </c>
      <c r="Z21" s="69">
        <v>346</v>
      </c>
      <c r="AA21" s="69">
        <v>690</v>
      </c>
      <c r="AB21" s="69">
        <v>1124</v>
      </c>
      <c r="AC21" s="69">
        <v>987</v>
      </c>
      <c r="AD21" s="69">
        <v>1155</v>
      </c>
      <c r="AE21" s="68">
        <v>1751</v>
      </c>
      <c r="AF21" s="68">
        <v>1663</v>
      </c>
      <c r="AG21" s="68">
        <v>1245</v>
      </c>
      <c r="AH21" s="68">
        <v>966</v>
      </c>
      <c r="AI21" s="68">
        <v>817</v>
      </c>
      <c r="AJ21" s="68">
        <v>618</v>
      </c>
    </row>
    <row r="22" spans="1:36" ht="12.75">
      <c r="A22" s="5">
        <v>21</v>
      </c>
      <c r="B22" s="6" t="s">
        <v>46</v>
      </c>
      <c r="C22" s="7" t="s">
        <v>112</v>
      </c>
      <c r="D22" s="69">
        <v>2801</v>
      </c>
      <c r="E22" s="69">
        <v>2637</v>
      </c>
      <c r="F22" s="69">
        <v>2676</v>
      </c>
      <c r="G22" s="69">
        <v>2946</v>
      </c>
      <c r="H22" s="69">
        <v>3094</v>
      </c>
      <c r="I22" s="69">
        <v>3157</v>
      </c>
      <c r="J22" s="69">
        <v>2624</v>
      </c>
      <c r="K22" s="69">
        <v>2511</v>
      </c>
      <c r="L22" s="69">
        <v>2575</v>
      </c>
      <c r="M22" s="69">
        <v>2264</v>
      </c>
      <c r="N22" s="69">
        <v>2237</v>
      </c>
      <c r="O22" s="69">
        <v>2518</v>
      </c>
      <c r="P22" s="69">
        <v>2564</v>
      </c>
      <c r="Q22" s="69">
        <v>2367</v>
      </c>
      <c r="R22" s="69">
        <v>2772</v>
      </c>
      <c r="S22" s="69">
        <v>2710</v>
      </c>
      <c r="T22" s="69">
        <v>2735</v>
      </c>
      <c r="U22" s="69">
        <v>2936</v>
      </c>
      <c r="V22" s="69">
        <v>2245</v>
      </c>
      <c r="W22" s="69">
        <v>2239</v>
      </c>
      <c r="X22" s="69">
        <v>2305</v>
      </c>
      <c r="Y22" s="69">
        <v>2074</v>
      </c>
      <c r="Z22" s="69">
        <v>2250</v>
      </c>
      <c r="AA22" s="69">
        <v>2301</v>
      </c>
      <c r="AB22" s="69">
        <v>2850</v>
      </c>
      <c r="AC22" s="69">
        <v>2579</v>
      </c>
      <c r="AD22" s="69">
        <v>2476</v>
      </c>
      <c r="AE22" s="68">
        <v>3480</v>
      </c>
      <c r="AF22" s="68">
        <v>3106</v>
      </c>
      <c r="AG22" s="68">
        <v>2676</v>
      </c>
      <c r="AH22" s="68">
        <v>2232</v>
      </c>
      <c r="AI22" s="68">
        <v>2630</v>
      </c>
      <c r="AJ22" s="68">
        <v>2410</v>
      </c>
    </row>
    <row r="23" spans="1:36" ht="12.75">
      <c r="A23" s="5">
        <v>22</v>
      </c>
      <c r="B23" s="6" t="s">
        <v>47</v>
      </c>
      <c r="C23" s="7" t="s">
        <v>112</v>
      </c>
      <c r="D23" s="69">
        <v>1167</v>
      </c>
      <c r="E23" s="69">
        <v>1077</v>
      </c>
      <c r="F23" s="69">
        <v>993</v>
      </c>
      <c r="G23" s="69">
        <v>971</v>
      </c>
      <c r="H23" s="69">
        <v>842</v>
      </c>
      <c r="I23" s="69">
        <v>1008</v>
      </c>
      <c r="J23" s="69">
        <v>993</v>
      </c>
      <c r="K23" s="69">
        <v>1027</v>
      </c>
      <c r="L23" s="69">
        <v>1274</v>
      </c>
      <c r="M23" s="69">
        <v>1148</v>
      </c>
      <c r="N23" s="69">
        <v>1098</v>
      </c>
      <c r="O23" s="69">
        <v>1311</v>
      </c>
      <c r="P23" s="69">
        <v>980</v>
      </c>
      <c r="Q23" s="69">
        <v>990</v>
      </c>
      <c r="R23" s="69">
        <v>872</v>
      </c>
      <c r="S23" s="69">
        <v>811</v>
      </c>
      <c r="T23" s="69">
        <v>784</v>
      </c>
      <c r="U23" s="69">
        <v>1113</v>
      </c>
      <c r="V23" s="69">
        <v>804</v>
      </c>
      <c r="W23" s="69">
        <v>902</v>
      </c>
      <c r="X23" s="69">
        <v>1050</v>
      </c>
      <c r="Y23" s="69">
        <v>1154</v>
      </c>
      <c r="Z23" s="69">
        <v>1183</v>
      </c>
      <c r="AA23" s="69">
        <v>1166</v>
      </c>
      <c r="AB23" s="69">
        <v>1155</v>
      </c>
      <c r="AC23" s="69">
        <v>974</v>
      </c>
      <c r="AD23" s="69">
        <v>836</v>
      </c>
      <c r="AE23" s="68">
        <v>875</v>
      </c>
      <c r="AF23" s="68">
        <v>751</v>
      </c>
      <c r="AG23" s="68">
        <v>911</v>
      </c>
      <c r="AH23" s="68">
        <v>756</v>
      </c>
      <c r="AI23" s="68">
        <v>976</v>
      </c>
      <c r="AJ23" s="68">
        <v>938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workbookViewId="0" topLeftCell="A1">
      <selection activeCell="A1" sqref="A1:B16384"/>
    </sheetView>
  </sheetViews>
  <sheetFormatPr defaultColWidth="11.421875" defaultRowHeight="12.75"/>
  <cols>
    <col min="1" max="1" width="21.7109375" style="0" customWidth="1"/>
    <col min="2" max="2" width="28.57421875" style="0" bestFit="1" customWidth="1"/>
    <col min="3" max="3" width="28.57421875" style="0" customWidth="1"/>
  </cols>
  <sheetData>
    <row r="1" spans="1:36" ht="25.5">
      <c r="A1" s="1" t="s">
        <v>79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4">
        <v>38991</v>
      </c>
      <c r="AC1" s="4">
        <v>39022</v>
      </c>
      <c r="AD1" s="65">
        <v>39052</v>
      </c>
      <c r="AE1" s="65">
        <v>39083</v>
      </c>
      <c r="AF1" s="66">
        <v>39114</v>
      </c>
      <c r="AG1" s="66">
        <v>39142</v>
      </c>
      <c r="AH1" s="66">
        <v>39173</v>
      </c>
      <c r="AI1" s="66">
        <v>39203</v>
      </c>
      <c r="AJ1" s="66">
        <v>39234</v>
      </c>
    </row>
    <row r="2" spans="1:30" ht="12.75">
      <c r="A2" s="5">
        <v>1</v>
      </c>
      <c r="B2" s="6" t="s">
        <v>26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D2" s="10"/>
    </row>
    <row r="3" spans="1:27" ht="12.75">
      <c r="A3" s="5">
        <v>2</v>
      </c>
      <c r="B3" s="6" t="s">
        <v>27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2.75">
      <c r="A4" s="5">
        <v>3</v>
      </c>
      <c r="B4" s="6" t="s">
        <v>28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2.75">
      <c r="A5" s="5">
        <v>4</v>
      </c>
      <c r="B5" s="6" t="s">
        <v>29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2.75">
      <c r="A6" s="5">
        <v>5</v>
      </c>
      <c r="B6" s="6" t="s">
        <v>30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5">
        <v>6</v>
      </c>
      <c r="B7" s="6" t="s">
        <v>31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75">
      <c r="A8" s="5">
        <v>7</v>
      </c>
      <c r="B8" s="6" t="s">
        <v>32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2.75">
      <c r="A9" s="5">
        <v>8</v>
      </c>
      <c r="B9" s="6" t="s">
        <v>33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2.75">
      <c r="A10" s="5">
        <v>9</v>
      </c>
      <c r="B10" s="6" t="s">
        <v>34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2.75">
      <c r="A11" s="5">
        <v>10</v>
      </c>
      <c r="B11" s="6" t="s">
        <v>35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2.75">
      <c r="A12" s="5">
        <v>11</v>
      </c>
      <c r="B12" s="6" t="s">
        <v>36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2.75">
      <c r="A13" s="5">
        <v>12</v>
      </c>
      <c r="B13" s="6" t="s">
        <v>37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.75">
      <c r="A14" s="5">
        <v>13</v>
      </c>
      <c r="B14" s="6" t="s">
        <v>38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.75">
      <c r="A15" s="5">
        <v>14</v>
      </c>
      <c r="B15" s="6" t="s">
        <v>39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5.5">
      <c r="A16" s="5">
        <v>15</v>
      </c>
      <c r="B16" s="6" t="s">
        <v>40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.75">
      <c r="A17" s="5">
        <v>16</v>
      </c>
      <c r="B17" s="6" t="s">
        <v>41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2.75">
      <c r="A18" s="5">
        <v>17</v>
      </c>
      <c r="B18" s="6" t="s">
        <v>42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.75">
      <c r="A19" s="5">
        <v>18</v>
      </c>
      <c r="B19" s="6" t="s">
        <v>43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.75">
      <c r="A20" s="5">
        <v>19</v>
      </c>
      <c r="B20" s="6" t="s">
        <v>44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>
      <c r="A21" s="5">
        <v>20</v>
      </c>
      <c r="B21" s="6" t="s">
        <v>45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.75">
      <c r="A22" s="5">
        <v>21</v>
      </c>
      <c r="B22" s="6" t="s">
        <v>46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.75">
      <c r="A23" s="5">
        <v>22</v>
      </c>
      <c r="B23" s="6" t="s">
        <v>47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9"/>
  <sheetViews>
    <sheetView workbookViewId="0" topLeftCell="AF1">
      <selection activeCell="AJ2" sqref="AJ2:AJ23"/>
    </sheetView>
  </sheetViews>
  <sheetFormatPr defaultColWidth="11.421875" defaultRowHeight="12.75"/>
  <cols>
    <col min="2" max="2" width="34.7109375" style="0" customWidth="1"/>
  </cols>
  <sheetData>
    <row r="1" spans="1:36" ht="12.75">
      <c r="A1" s="11" t="s">
        <v>48</v>
      </c>
      <c r="B1" s="11" t="s">
        <v>49</v>
      </c>
      <c r="C1" s="12" t="s">
        <v>50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12" t="s">
        <v>56</v>
      </c>
      <c r="J1" s="12" t="s">
        <v>57</v>
      </c>
      <c r="K1" s="12" t="s">
        <v>58</v>
      </c>
      <c r="L1" s="12" t="s">
        <v>59</v>
      </c>
      <c r="M1" s="12" t="s">
        <v>60</v>
      </c>
      <c r="N1" s="12" t="s">
        <v>61</v>
      </c>
      <c r="O1" s="12" t="s">
        <v>62</v>
      </c>
      <c r="P1" s="12" t="s">
        <v>63</v>
      </c>
      <c r="Q1" s="13">
        <v>38657</v>
      </c>
      <c r="R1" s="13">
        <v>38687</v>
      </c>
      <c r="S1" s="13">
        <v>38718</v>
      </c>
      <c r="T1" s="13">
        <v>38749</v>
      </c>
      <c r="U1" s="13">
        <v>38777</v>
      </c>
      <c r="V1" s="13">
        <v>38808</v>
      </c>
      <c r="W1" s="13">
        <v>38838</v>
      </c>
      <c r="X1" s="13">
        <v>38869</v>
      </c>
      <c r="Y1" s="13">
        <v>38899</v>
      </c>
      <c r="Z1" s="13">
        <v>38930</v>
      </c>
      <c r="AA1" s="13">
        <v>38961</v>
      </c>
      <c r="AB1" s="13">
        <v>38991</v>
      </c>
      <c r="AC1" s="13">
        <v>39022</v>
      </c>
      <c r="AD1" s="13">
        <v>39052</v>
      </c>
      <c r="AE1" s="13">
        <v>39083</v>
      </c>
      <c r="AF1" s="13">
        <v>39114</v>
      </c>
      <c r="AG1" s="13">
        <v>39142</v>
      </c>
      <c r="AH1" s="13">
        <v>39173</v>
      </c>
      <c r="AI1" s="13">
        <v>39203</v>
      </c>
      <c r="AJ1" s="13">
        <v>39234</v>
      </c>
    </row>
    <row r="2" spans="1:36" ht="12.75">
      <c r="A2" s="14">
        <v>1</v>
      </c>
      <c r="B2" s="15" t="s">
        <v>26</v>
      </c>
      <c r="C2" s="16" t="s">
        <v>111</v>
      </c>
      <c r="D2" s="16">
        <f>VLOOKUP(1,'tableau entrée 1'!$A$2:$AZ$23,4,FALSE)</f>
        <v>11741</v>
      </c>
      <c r="E2" s="16">
        <f>VLOOKUP(1,'tableau entrée 1'!$A$2:$AZ$23,5,FALSE)</f>
        <v>10799</v>
      </c>
      <c r="F2" s="16">
        <f>VLOOKUP(1,'tableau entrée 1'!$A$2:$AZ$23,6,FALSE)</f>
        <v>13112</v>
      </c>
      <c r="G2" s="16">
        <f>VLOOKUP(1,'tableau entrée 1'!$A$2:$AZ$23,7,FALSE)</f>
        <v>14431</v>
      </c>
      <c r="H2" s="16">
        <f>VLOOKUP(1,'tableau entrée 1'!$A$2:$AZ$23,8,FALSE)</f>
        <v>18790</v>
      </c>
      <c r="I2" s="16">
        <f>VLOOKUP(1,'tableau entrée 1'!$A$2:$AZ$23,9,FALSE)</f>
        <v>14523</v>
      </c>
      <c r="J2" s="16">
        <f>VLOOKUP(1,'tableau entrée 1'!$A$2:$AZ$23,10,FALSE)</f>
        <v>12031</v>
      </c>
      <c r="K2" s="16">
        <f>VLOOKUP(1,'tableau entrée 1'!$A$2:$AZ$23,11,FALSE)</f>
        <v>9880</v>
      </c>
      <c r="L2" s="16">
        <f>VLOOKUP(1,'tableau entrée 1'!$A$2:$AZ$23,12,FALSE)</f>
        <v>10188</v>
      </c>
      <c r="M2" s="16">
        <f>VLOOKUP(1,'tableau entrée 1'!$A$2:$AZ$23,13,FALSE)</f>
        <v>7793</v>
      </c>
      <c r="N2" s="16">
        <f>VLOOKUP(1,'tableau entrée 1'!$A$2:$AZ$23,14,FALSE)</f>
        <v>6161</v>
      </c>
      <c r="O2" s="16">
        <f>VLOOKUP(1,'tableau entrée 1'!$A$2:$AZ$23,15,FALSE)</f>
        <v>10036</v>
      </c>
      <c r="P2" s="16">
        <f>VLOOKUP(1,'tableau entrée 1'!$A$2:$AZ$23,16,FALSE)</f>
        <v>12652</v>
      </c>
      <c r="Q2" s="16">
        <f>VLOOKUP(1,'tableau entrée 1'!$A$2:$AZ$23,17,FALSE)</f>
        <v>12328</v>
      </c>
      <c r="R2" s="16">
        <f>VLOOKUP(1,'tableau entrée 1'!$A$2:$AZ$23,18,FALSE)</f>
        <v>17404</v>
      </c>
      <c r="S2" s="16">
        <f>VLOOKUP(1,'tableau entrée 1'!$A$2:$AZ$23,19,FALSE)</f>
        <v>15154</v>
      </c>
      <c r="T2" s="16">
        <f>VLOOKUP(1,'tableau entrée 1'!$A$2:$AZ$23,20,FALSE)</f>
        <v>17076</v>
      </c>
      <c r="U2" s="16">
        <f>VLOOKUP(1,'tableau entrée 1'!$A$2:$AZ$23,21,FALSE)</f>
        <v>15652</v>
      </c>
      <c r="V2" s="16">
        <f>VLOOKUP(1,'tableau entrée 1'!$A$2:$AZ$23,22,FALSE)</f>
        <v>13210</v>
      </c>
      <c r="W2" s="16">
        <f>VLOOKUP(1,'tableau entrée 1'!$A$2:$AZ$23,23,FALSE)</f>
        <v>11017</v>
      </c>
      <c r="X2" s="16">
        <f>VLOOKUP(1,'tableau entrée 1'!$A$2:$AZ$23,24,FALSE)</f>
        <v>11528</v>
      </c>
      <c r="Y2" s="16">
        <f>VLOOKUP(1,'tableau entrée 1'!$A$2:$AZ$23,25,FALSE)</f>
        <v>8777</v>
      </c>
      <c r="Z2" s="16">
        <f>VLOOKUP(1,'tableau entrée 1'!$A$2:$AZ$23,26,FALSE)</f>
        <v>7658</v>
      </c>
      <c r="AA2" s="16">
        <f>VLOOKUP(1,'tableau entrée 1'!$A$2:$AZ$23,27,FALSE)</f>
        <v>10420</v>
      </c>
      <c r="AB2" s="16">
        <f>VLOOKUP(1,'tableau entrée 1'!$A$2:$AZ$23,28,FALSE)</f>
        <v>15529</v>
      </c>
      <c r="AC2" s="16">
        <f>VLOOKUP(1,'tableau entrée 1'!$A$2:$AZ$23,29,FALSE)</f>
        <v>13470</v>
      </c>
      <c r="AD2" s="16">
        <f>VLOOKUP(1,'tableau entrée 1'!$A$2:$AZ$23,30,FALSE)</f>
        <v>15248</v>
      </c>
      <c r="AE2" s="16">
        <f>VLOOKUP(1,'tableau entrée 1'!$A$2:$AZ$23,31,FALSE)</f>
        <v>20413</v>
      </c>
      <c r="AF2" s="16">
        <f>VLOOKUP(1,'tableau entrée 1'!$A$2:$AZ$23,32,FALSE)</f>
        <v>19620</v>
      </c>
      <c r="AG2" s="16">
        <f>VLOOKUP(1,'tableau entrée 1'!$A$2:$AZ$23,33,FALSE)</f>
        <v>13338</v>
      </c>
      <c r="AH2" s="16">
        <f>VLOOKUP(1,'tableau entrée 1'!$A$2:$AZ$23,34,FALSE)</f>
        <v>11374</v>
      </c>
      <c r="AI2" s="16">
        <f>VLOOKUP(1,'tableau entrée 1'!$A$2:$AZ$23,35,FALSE)</f>
        <v>12653</v>
      </c>
      <c r="AJ2" s="16">
        <f>VLOOKUP(1,'tableau entrée 1'!$A$2:$AZ$23,36,FALSE)</f>
        <v>12193</v>
      </c>
    </row>
    <row r="3" spans="1:36" ht="12.75">
      <c r="A3" s="14">
        <v>2</v>
      </c>
      <c r="B3" s="15" t="s">
        <v>27</v>
      </c>
      <c r="C3" s="16" t="s">
        <v>111</v>
      </c>
      <c r="D3" s="16">
        <f>VLOOKUP(2,'tableau entrée 1'!$A$2:$AZ$23,4,FALSE)</f>
        <v>8263</v>
      </c>
      <c r="E3" s="16">
        <f>VLOOKUP(2,'tableau entrée 1'!$A$2:$AZ$23,5,FALSE)</f>
        <v>7642</v>
      </c>
      <c r="F3" s="16">
        <f>VLOOKUP(2,'tableau entrée 1'!$A$2:$AZ$23,6,FALSE)</f>
        <v>9281</v>
      </c>
      <c r="G3" s="16">
        <f>VLOOKUP(2,'tableau entrée 1'!$A$2:$AZ$23,7,FALSE)</f>
        <v>10222</v>
      </c>
      <c r="H3" s="16">
        <f>VLOOKUP(2,'tableau entrée 1'!$A$2:$AZ$23,8,FALSE)</f>
        <v>13326</v>
      </c>
      <c r="I3" s="16">
        <f>VLOOKUP(2,'tableau entrée 1'!$A$2:$AZ$23,9,FALSE)</f>
        <v>11651</v>
      </c>
      <c r="J3" s="16">
        <f>VLOOKUP(2,'tableau entrée 1'!$A$2:$AZ$23,10,FALSE)</f>
        <v>9885</v>
      </c>
      <c r="K3" s="16">
        <f>VLOOKUP(2,'tableau entrée 1'!$A$2:$AZ$23,11,FALSE)</f>
        <v>7980</v>
      </c>
      <c r="L3" s="16">
        <f>VLOOKUP(2,'tableau entrée 1'!$A$2:$AZ$23,12,FALSE)</f>
        <v>7488</v>
      </c>
      <c r="M3" s="16">
        <f>VLOOKUP(2,'tableau entrée 1'!$A$2:$AZ$23,13,FALSE)</f>
        <v>6298</v>
      </c>
      <c r="N3" s="16">
        <f>VLOOKUP(2,'tableau entrée 1'!$A$2:$AZ$23,14,FALSE)</f>
        <v>5674</v>
      </c>
      <c r="O3" s="16">
        <f>VLOOKUP(2,'tableau entrée 1'!$A$2:$AZ$23,15,FALSE)</f>
        <v>7330</v>
      </c>
      <c r="P3" s="16">
        <f>VLOOKUP(2,'tableau entrée 1'!$A$2:$AZ$23,16,FALSE)</f>
        <v>8895</v>
      </c>
      <c r="Q3" s="16">
        <f>VLOOKUP(2,'tableau entrée 1'!$A$2:$AZ$23,17,FALSE)</f>
        <v>8301</v>
      </c>
      <c r="R3" s="16">
        <f>VLOOKUP(2,'tableau entrée 1'!$A$2:$AZ$23,18,FALSE)</f>
        <v>11887</v>
      </c>
      <c r="S3" s="16">
        <f>VLOOKUP(2,'tableau entrée 1'!$A$2:$AZ$23,19,FALSE)</f>
        <v>10818</v>
      </c>
      <c r="T3" s="16">
        <f>VLOOKUP(2,'tableau entrée 1'!$A$2:$AZ$23,20,FALSE)</f>
        <v>11582</v>
      </c>
      <c r="U3" s="16">
        <f>VLOOKUP(2,'tableau entrée 1'!$A$2:$AZ$23,21,FALSE)</f>
        <v>10817</v>
      </c>
      <c r="V3" s="16">
        <f>VLOOKUP(2,'tableau entrée 1'!$A$2:$AZ$23,22,FALSE)</f>
        <v>8978</v>
      </c>
      <c r="W3" s="16">
        <f>VLOOKUP(2,'tableau entrée 1'!$A$2:$AZ$23,23,FALSE)</f>
        <v>8045</v>
      </c>
      <c r="X3" s="16">
        <f>VLOOKUP(2,'tableau entrée 1'!$A$2:$AZ$23,24,FALSE)</f>
        <v>7739</v>
      </c>
      <c r="Y3" s="16">
        <f>VLOOKUP(2,'tableau entrée 1'!$A$2:$AZ$23,25,FALSE)</f>
        <v>6846</v>
      </c>
      <c r="Z3" s="16">
        <f>VLOOKUP(2,'tableau entrée 1'!$A$2:$AZ$23,26,FALSE)</f>
        <v>6643</v>
      </c>
      <c r="AA3" s="16">
        <f>VLOOKUP(2,'tableau entrée 1'!$A$2:$AZ$23,27,FALSE)</f>
        <v>7328</v>
      </c>
      <c r="AB3" s="16">
        <f>VLOOKUP(2,'tableau entrée 1'!$A$2:$AZ$23,28,FALSE)</f>
        <v>10228</v>
      </c>
      <c r="AC3" s="16">
        <f>VLOOKUP(2,'tableau entrée 1'!$A$2:$AZ$23,29,FALSE)</f>
        <v>9162</v>
      </c>
      <c r="AD3" s="16">
        <f>VLOOKUP(2,'tableau entrée 1'!$A$2:$AZ$23,30,FALSE)</f>
        <v>10281</v>
      </c>
      <c r="AE3" s="16">
        <f>VLOOKUP(2,'tableau entrée 1'!$A$2:$AZ$23,31,FALSE)</f>
        <v>14805</v>
      </c>
      <c r="AF3" s="16">
        <f>VLOOKUP(2,'tableau entrée 1'!$A$2:$AZ$23,32,FALSE)</f>
        <v>13415</v>
      </c>
      <c r="AG3" s="16">
        <f>VLOOKUP(2,'tableau entrée 1'!$A$2:$AZ$23,33,FALSE)</f>
        <v>10057</v>
      </c>
      <c r="AH3" s="16">
        <f>VLOOKUP(2,'tableau entrée 1'!$A$2:$AZ$23,34,FALSE)</f>
        <v>8551</v>
      </c>
      <c r="AI3" s="16">
        <f>VLOOKUP(2,'tableau entrée 1'!$A$2:$AZ$23,35,FALSE)</f>
        <v>9176</v>
      </c>
      <c r="AJ3" s="16">
        <f>VLOOKUP(2,'tableau entrée 1'!$A$2:$AZ$23,36,FALSE)</f>
        <v>8403</v>
      </c>
    </row>
    <row r="4" spans="1:36" ht="12.75">
      <c r="A4" s="14">
        <v>3</v>
      </c>
      <c r="B4" s="15" t="s">
        <v>28</v>
      </c>
      <c r="C4" s="16" t="s">
        <v>111</v>
      </c>
      <c r="D4" s="16">
        <f>VLOOKUP(3,'tableau entrée 1'!$A$2:$AZ$23,4,FALSE)</f>
        <v>682</v>
      </c>
      <c r="E4" s="16">
        <f>VLOOKUP(3,'tableau entrée 1'!$A$2:$AZ$23,5,FALSE)</f>
        <v>694</v>
      </c>
      <c r="F4" s="16">
        <f>VLOOKUP(3,'tableau entrée 1'!$A$2:$AZ$23,6,FALSE)</f>
        <v>604</v>
      </c>
      <c r="G4" s="16">
        <f>VLOOKUP(3,'tableau entrée 1'!$A$2:$AZ$23,7,FALSE)</f>
        <v>573</v>
      </c>
      <c r="H4" s="16">
        <f>VLOOKUP(3,'tableau entrée 1'!$A$2:$AZ$23,8,FALSE)</f>
        <v>523</v>
      </c>
      <c r="I4" s="16">
        <f>VLOOKUP(3,'tableau entrée 1'!$A$2:$AZ$23,9,FALSE)</f>
        <v>585</v>
      </c>
      <c r="J4" s="16">
        <f>VLOOKUP(3,'tableau entrée 1'!$A$2:$AZ$23,10,FALSE)</f>
        <v>601</v>
      </c>
      <c r="K4" s="16">
        <f>VLOOKUP(3,'tableau entrée 1'!$A$2:$AZ$23,11,FALSE)</f>
        <v>615</v>
      </c>
      <c r="L4" s="16">
        <f>VLOOKUP(3,'tableau entrée 1'!$A$2:$AZ$23,12,FALSE)</f>
        <v>699</v>
      </c>
      <c r="M4" s="16">
        <f>VLOOKUP(3,'tableau entrée 1'!$A$2:$AZ$23,13,FALSE)</f>
        <v>657</v>
      </c>
      <c r="N4" s="16">
        <f>VLOOKUP(3,'tableau entrée 1'!$A$2:$AZ$23,14,FALSE)</f>
        <v>672</v>
      </c>
      <c r="O4" s="16">
        <f>VLOOKUP(3,'tableau entrée 1'!$A$2:$AZ$23,15,FALSE)</f>
        <v>722</v>
      </c>
      <c r="P4" s="16">
        <f>VLOOKUP(3,'tableau entrée 1'!$A$2:$AZ$23,16,FALSE)</f>
        <v>520</v>
      </c>
      <c r="Q4" s="16">
        <f>VLOOKUP(3,'tableau entrée 1'!$A$2:$AZ$23,17,FALSE)</f>
        <v>522</v>
      </c>
      <c r="R4" s="16">
        <f>VLOOKUP(3,'tableau entrée 1'!$A$2:$AZ$23,18,FALSE)</f>
        <v>517</v>
      </c>
      <c r="S4" s="16">
        <f>VLOOKUP(3,'tableau entrée 1'!$A$2:$AZ$23,19,FALSE)</f>
        <v>512</v>
      </c>
      <c r="T4" s="16">
        <f>VLOOKUP(3,'tableau entrée 1'!$A$2:$AZ$23,20,FALSE)</f>
        <v>503</v>
      </c>
      <c r="U4" s="16">
        <f>VLOOKUP(3,'tableau entrée 1'!$A$2:$AZ$23,21,FALSE)</f>
        <v>664</v>
      </c>
      <c r="V4" s="16">
        <f>VLOOKUP(3,'tableau entrée 1'!$A$2:$AZ$23,22,FALSE)</f>
        <v>450</v>
      </c>
      <c r="W4" s="16">
        <f>VLOOKUP(3,'tableau entrée 1'!$A$2:$AZ$23,23,FALSE)</f>
        <v>546</v>
      </c>
      <c r="X4" s="16">
        <f>VLOOKUP(3,'tableau entrée 1'!$A$2:$AZ$23,24,FALSE)</f>
        <v>654</v>
      </c>
      <c r="Y4" s="16">
        <f>VLOOKUP(3,'tableau entrée 1'!$A$2:$AZ$23,25,FALSE)</f>
        <v>709</v>
      </c>
      <c r="Z4" s="16">
        <f>VLOOKUP(3,'tableau entrée 1'!$A$2:$AZ$23,26,FALSE)</f>
        <v>741</v>
      </c>
      <c r="AA4" s="16">
        <f>VLOOKUP(3,'tableau entrée 1'!$A$2:$AZ$23,27,FALSE)</f>
        <v>718</v>
      </c>
      <c r="AB4" s="16">
        <f>VLOOKUP(3,'tableau entrée 1'!$A$2:$AZ$23,28,FALSE)</f>
        <v>598</v>
      </c>
      <c r="AC4" s="16">
        <f>VLOOKUP(3,'tableau entrée 1'!$A$2:$AZ$23,29,FALSE)</f>
        <v>509</v>
      </c>
      <c r="AD4" s="16">
        <f>VLOOKUP(3,'tableau entrée 1'!$A$2:$AZ$23,30,FALSE)</f>
        <v>490</v>
      </c>
      <c r="AE4" s="16">
        <f>VLOOKUP(3,'tableau entrée 1'!$A$2:$AZ$23,31,FALSE)</f>
        <v>537</v>
      </c>
      <c r="AF4" s="16">
        <f>VLOOKUP(3,'tableau entrée 1'!$A$2:$AZ$23,32,FALSE)</f>
        <v>462</v>
      </c>
      <c r="AG4" s="16">
        <f>VLOOKUP(3,'tableau entrée 1'!$A$2:$AZ$23,33,FALSE)</f>
        <v>573</v>
      </c>
      <c r="AH4" s="16">
        <f>VLOOKUP(3,'tableau entrée 1'!$A$2:$AZ$23,34,FALSE)</f>
        <v>510</v>
      </c>
      <c r="AI4" s="16">
        <f>VLOOKUP(3,'tableau entrée 1'!$A$2:$AZ$23,35,FALSE)</f>
        <v>599</v>
      </c>
      <c r="AJ4" s="16">
        <f>VLOOKUP(3,'tableau entrée 1'!$A$2:$AZ$23,36,FALSE)</f>
        <v>603</v>
      </c>
    </row>
    <row r="5" spans="1:36" ht="12.75">
      <c r="A5" s="14">
        <v>4</v>
      </c>
      <c r="B5" s="15" t="s">
        <v>29</v>
      </c>
      <c r="C5" s="16" t="s">
        <v>111</v>
      </c>
      <c r="D5" s="16">
        <f>VLOOKUP(4,'tableau entrée 1'!$A$2:$AZ$23,4,FALSE)</f>
        <v>761</v>
      </c>
      <c r="E5" s="16">
        <f>VLOOKUP(4,'tableau entrée 1'!$A$2:$AZ$23,5,FALSE)</f>
        <v>766</v>
      </c>
      <c r="F5" s="16">
        <f>VLOOKUP(4,'tableau entrée 1'!$A$2:$AZ$23,6,FALSE)</f>
        <v>743</v>
      </c>
      <c r="G5" s="16">
        <f>VLOOKUP(4,'tableau entrée 1'!$A$2:$AZ$23,7,FALSE)</f>
        <v>661</v>
      </c>
      <c r="H5" s="16">
        <f>VLOOKUP(4,'tableau entrée 1'!$A$2:$AZ$23,8,FALSE)</f>
        <v>611</v>
      </c>
      <c r="I5" s="16">
        <f>VLOOKUP(4,'tableau entrée 1'!$A$2:$AZ$23,9,FALSE)</f>
        <v>681</v>
      </c>
      <c r="J5" s="16">
        <f>VLOOKUP(4,'tableau entrée 1'!$A$2:$AZ$23,10,FALSE)</f>
        <v>763</v>
      </c>
      <c r="K5" s="16">
        <f>VLOOKUP(4,'tableau entrée 1'!$A$2:$AZ$23,11,FALSE)</f>
        <v>820</v>
      </c>
      <c r="L5" s="16">
        <f>VLOOKUP(4,'tableau entrée 1'!$A$2:$AZ$23,12,FALSE)</f>
        <v>1008</v>
      </c>
      <c r="M5" s="16">
        <f>VLOOKUP(4,'tableau entrée 1'!$A$2:$AZ$23,13,FALSE)</f>
        <v>1015</v>
      </c>
      <c r="N5" s="16">
        <f>VLOOKUP(4,'tableau entrée 1'!$A$2:$AZ$23,14,FALSE)</f>
        <v>900</v>
      </c>
      <c r="O5" s="16">
        <f>VLOOKUP(4,'tableau entrée 1'!$A$2:$AZ$23,15,FALSE)</f>
        <v>894</v>
      </c>
      <c r="P5" s="16">
        <f>VLOOKUP(4,'tableau entrée 1'!$A$2:$AZ$23,16,FALSE)</f>
        <v>891</v>
      </c>
      <c r="Q5" s="16">
        <f>VLOOKUP(4,'tableau entrée 1'!$A$2:$AZ$23,17,FALSE)</f>
        <v>919</v>
      </c>
      <c r="R5" s="16">
        <f>VLOOKUP(4,'tableau entrée 1'!$A$2:$AZ$23,18,FALSE)</f>
        <v>797</v>
      </c>
      <c r="S5" s="16">
        <f>VLOOKUP(4,'tableau entrée 1'!$A$2:$AZ$23,19,FALSE)</f>
        <v>665</v>
      </c>
      <c r="T5" s="16">
        <f>VLOOKUP(4,'tableau entrée 1'!$A$2:$AZ$23,20,FALSE)</f>
        <v>670</v>
      </c>
      <c r="U5" s="16">
        <f>VLOOKUP(4,'tableau entrée 1'!$A$2:$AZ$23,21,FALSE)</f>
        <v>831</v>
      </c>
      <c r="V5" s="16">
        <f>VLOOKUP(4,'tableau entrée 1'!$A$2:$AZ$23,22,FALSE)</f>
        <v>715</v>
      </c>
      <c r="W5" s="16">
        <f>VLOOKUP(4,'tableau entrée 1'!$A$2:$AZ$23,23,FALSE)</f>
        <v>788</v>
      </c>
      <c r="X5" s="16">
        <f>VLOOKUP(4,'tableau entrée 1'!$A$2:$AZ$23,24,FALSE)</f>
        <v>873</v>
      </c>
      <c r="Y5" s="16">
        <f>VLOOKUP(4,'tableau entrée 1'!$A$2:$AZ$23,25,FALSE)</f>
        <v>969</v>
      </c>
      <c r="Z5" s="16">
        <f>VLOOKUP(4,'tableau entrée 1'!$A$2:$AZ$23,26,FALSE)</f>
        <v>939</v>
      </c>
      <c r="AA5" s="16">
        <f>VLOOKUP(4,'tableau entrée 1'!$A$2:$AZ$23,27,FALSE)</f>
        <v>846</v>
      </c>
      <c r="AB5" s="16">
        <f>VLOOKUP(4,'tableau entrée 1'!$A$2:$AZ$23,28,FALSE)</f>
        <v>905</v>
      </c>
      <c r="AC5" s="16">
        <f>VLOOKUP(4,'tableau entrée 1'!$A$2:$AZ$23,29,FALSE)</f>
        <v>838</v>
      </c>
      <c r="AD5" s="16">
        <f>VLOOKUP(4,'tableau entrée 1'!$A$2:$AZ$23,30,FALSE)</f>
        <v>625</v>
      </c>
      <c r="AE5" s="16">
        <f>VLOOKUP(4,'tableau entrée 1'!$A$2:$AZ$23,31,FALSE)</f>
        <v>714</v>
      </c>
      <c r="AF5" s="16">
        <f>VLOOKUP(4,'tableau entrée 1'!$A$2:$AZ$23,32,FALSE)</f>
        <v>573</v>
      </c>
      <c r="AG5" s="16">
        <f>VLOOKUP(4,'tableau entrée 1'!$A$2:$AZ$23,33,FALSE)</f>
        <v>723</v>
      </c>
      <c r="AH5" s="16">
        <f>VLOOKUP(4,'tableau entrée 1'!$A$2:$AZ$23,34,FALSE)</f>
        <v>679</v>
      </c>
      <c r="AI5" s="16">
        <f>VLOOKUP(4,'tableau entrée 1'!$A$2:$AZ$23,35,FALSE)</f>
        <v>820</v>
      </c>
      <c r="AJ5" s="16">
        <f>VLOOKUP(4,'tableau entrée 1'!$A$2:$AZ$23,36,FALSE)</f>
        <v>876</v>
      </c>
    </row>
    <row r="6" spans="1:36" ht="12.75">
      <c r="A6" s="14">
        <v>5</v>
      </c>
      <c r="B6" s="15" t="s">
        <v>30</v>
      </c>
      <c r="C6" s="16" t="s">
        <v>111</v>
      </c>
      <c r="D6" s="16">
        <f>VLOOKUP(5,'tableau entrée 1'!$A$2:$AZ$23,4,FALSE)</f>
        <v>546</v>
      </c>
      <c r="E6" s="16">
        <f>VLOOKUP(5,'tableau entrée 1'!$A$2:$AZ$23,5,FALSE)</f>
        <v>462</v>
      </c>
      <c r="F6" s="16">
        <f>VLOOKUP(5,'tableau entrée 1'!$A$2:$AZ$23,6,FALSE)</f>
        <v>633</v>
      </c>
      <c r="G6" s="16">
        <f>VLOOKUP(5,'tableau entrée 1'!$A$2:$AZ$23,7,FALSE)</f>
        <v>633</v>
      </c>
      <c r="H6" s="16">
        <f>VLOOKUP(5,'tableau entrée 1'!$A$2:$AZ$23,8,FALSE)</f>
        <v>886</v>
      </c>
      <c r="I6" s="16">
        <f>VLOOKUP(5,'tableau entrée 1'!$A$2:$AZ$23,9,FALSE)</f>
        <v>584</v>
      </c>
      <c r="J6" s="16">
        <f>VLOOKUP(5,'tableau entrée 1'!$A$2:$AZ$23,10,FALSE)</f>
        <v>579</v>
      </c>
      <c r="K6" s="16">
        <f>VLOOKUP(5,'tableau entrée 1'!$A$2:$AZ$23,11,FALSE)</f>
        <v>337</v>
      </c>
      <c r="L6" s="16">
        <f>VLOOKUP(5,'tableau entrée 1'!$A$2:$AZ$23,12,FALSE)</f>
        <v>400</v>
      </c>
      <c r="M6" s="16">
        <f>VLOOKUP(5,'tableau entrée 1'!$A$2:$AZ$23,13,FALSE)</f>
        <v>247</v>
      </c>
      <c r="N6" s="16">
        <f>VLOOKUP(5,'tableau entrée 1'!$A$2:$AZ$23,14,FALSE)</f>
        <v>181</v>
      </c>
      <c r="O6" s="16">
        <f>VLOOKUP(5,'tableau entrée 1'!$A$2:$AZ$23,15,FALSE)</f>
        <v>354</v>
      </c>
      <c r="P6" s="16">
        <f>VLOOKUP(5,'tableau entrée 1'!$A$2:$AZ$23,16,FALSE)</f>
        <v>426</v>
      </c>
      <c r="Q6" s="16">
        <f>VLOOKUP(5,'tableau entrée 1'!$A$2:$AZ$23,17,FALSE)</f>
        <v>394</v>
      </c>
      <c r="R6" s="16">
        <f>VLOOKUP(5,'tableau entrée 1'!$A$2:$AZ$23,18,FALSE)</f>
        <v>556</v>
      </c>
      <c r="S6" s="16">
        <f>VLOOKUP(5,'tableau entrée 1'!$A$2:$AZ$23,19,FALSE)</f>
        <v>460</v>
      </c>
      <c r="T6" s="16">
        <f>VLOOKUP(5,'tableau entrée 1'!$A$2:$AZ$23,20,FALSE)</f>
        <v>535</v>
      </c>
      <c r="U6" s="16">
        <f>VLOOKUP(5,'tableau entrée 1'!$A$2:$AZ$23,21,FALSE)</f>
        <v>476</v>
      </c>
      <c r="V6" s="16">
        <f>VLOOKUP(5,'tableau entrée 1'!$A$2:$AZ$23,22,FALSE)</f>
        <v>332</v>
      </c>
      <c r="W6" s="16">
        <f>VLOOKUP(5,'tableau entrée 1'!$A$2:$AZ$23,23,FALSE)</f>
        <v>281</v>
      </c>
      <c r="X6" s="16">
        <f>VLOOKUP(5,'tableau entrée 1'!$A$2:$AZ$23,24,FALSE)</f>
        <v>249</v>
      </c>
      <c r="Y6" s="16">
        <f>VLOOKUP(5,'tableau entrée 1'!$A$2:$AZ$23,25,FALSE)</f>
        <v>203</v>
      </c>
      <c r="Z6" s="16">
        <f>VLOOKUP(5,'tableau entrée 1'!$A$2:$AZ$23,26,FALSE)</f>
        <v>173</v>
      </c>
      <c r="AA6" s="16">
        <f>VLOOKUP(5,'tableau entrée 1'!$A$2:$AZ$23,27,FALSE)</f>
        <v>292</v>
      </c>
      <c r="AB6" s="16">
        <f>VLOOKUP(5,'tableau entrée 1'!$A$2:$AZ$23,28,FALSE)</f>
        <v>465</v>
      </c>
      <c r="AC6" s="16">
        <f>VLOOKUP(5,'tableau entrée 1'!$A$2:$AZ$23,29,FALSE)</f>
        <v>354</v>
      </c>
      <c r="AD6" s="16">
        <f>VLOOKUP(5,'tableau entrée 1'!$A$2:$AZ$23,30,FALSE)</f>
        <v>467</v>
      </c>
      <c r="AE6" s="16">
        <f>VLOOKUP(5,'tableau entrée 1'!$A$2:$AZ$23,31,FALSE)</f>
        <v>639</v>
      </c>
      <c r="AF6" s="16">
        <f>VLOOKUP(5,'tableau entrée 1'!$A$2:$AZ$23,32,FALSE)</f>
        <v>520</v>
      </c>
      <c r="AG6" s="16">
        <f>VLOOKUP(5,'tableau entrée 1'!$A$2:$AZ$23,33,FALSE)</f>
        <v>413</v>
      </c>
      <c r="AH6" s="16">
        <f>VLOOKUP(5,'tableau entrée 1'!$A$2:$AZ$23,34,FALSE)</f>
        <v>338</v>
      </c>
      <c r="AI6" s="16">
        <f>VLOOKUP(5,'tableau entrée 1'!$A$2:$AZ$23,35,FALSE)</f>
        <v>346</v>
      </c>
      <c r="AJ6" s="16">
        <f>VLOOKUP(5,'tableau entrée 1'!$A$2:$AZ$23,36,FALSE)</f>
        <v>324</v>
      </c>
    </row>
    <row r="7" spans="1:36" ht="12.75">
      <c r="A7" s="14">
        <v>6</v>
      </c>
      <c r="B7" s="15" t="s">
        <v>31</v>
      </c>
      <c r="C7" s="16" t="s">
        <v>111</v>
      </c>
      <c r="D7" s="16">
        <f>VLOOKUP(6,'tableau entrée 1'!$A$2:$AZ$23,4,FALSE)</f>
        <v>677</v>
      </c>
      <c r="E7" s="16">
        <f>VLOOKUP(6,'tableau entrée 1'!$A$2:$AZ$23,5,FALSE)</f>
        <v>592</v>
      </c>
      <c r="F7" s="16">
        <f>VLOOKUP(6,'tableau entrée 1'!$A$2:$AZ$23,6,FALSE)</f>
        <v>745</v>
      </c>
      <c r="G7" s="16">
        <f>VLOOKUP(6,'tableau entrée 1'!$A$2:$AZ$23,7,FALSE)</f>
        <v>768</v>
      </c>
      <c r="H7" s="16">
        <f>VLOOKUP(6,'tableau entrée 1'!$A$2:$AZ$23,8,FALSE)</f>
        <v>1026</v>
      </c>
      <c r="I7" s="16">
        <f>VLOOKUP(6,'tableau entrée 1'!$A$2:$AZ$23,9,FALSE)</f>
        <v>792</v>
      </c>
      <c r="J7" s="16">
        <f>VLOOKUP(6,'tableau entrée 1'!$A$2:$AZ$23,10,FALSE)</f>
        <v>671</v>
      </c>
      <c r="K7" s="16">
        <f>VLOOKUP(6,'tableau entrée 1'!$A$2:$AZ$23,11,FALSE)</f>
        <v>430</v>
      </c>
      <c r="L7" s="16">
        <f>VLOOKUP(6,'tableau entrée 1'!$A$2:$AZ$23,12,FALSE)</f>
        <v>431</v>
      </c>
      <c r="M7" s="16">
        <f>VLOOKUP(6,'tableau entrée 1'!$A$2:$AZ$23,13,FALSE)</f>
        <v>307</v>
      </c>
      <c r="N7" s="16">
        <f>VLOOKUP(6,'tableau entrée 1'!$A$2:$AZ$23,14,FALSE)</f>
        <v>164</v>
      </c>
      <c r="O7" s="16">
        <f>VLOOKUP(6,'tableau entrée 1'!$A$2:$AZ$23,15,FALSE)</f>
        <v>331</v>
      </c>
      <c r="P7" s="16">
        <f>VLOOKUP(6,'tableau entrée 1'!$A$2:$AZ$23,16,FALSE)</f>
        <v>544</v>
      </c>
      <c r="Q7" s="16">
        <f>VLOOKUP(6,'tableau entrée 1'!$A$2:$AZ$23,17,FALSE)</f>
        <v>436</v>
      </c>
      <c r="R7" s="16">
        <f>VLOOKUP(6,'tableau entrée 1'!$A$2:$AZ$23,18,FALSE)</f>
        <v>690</v>
      </c>
      <c r="S7" s="16">
        <f>VLOOKUP(6,'tableau entrée 1'!$A$2:$AZ$23,19,FALSE)</f>
        <v>557</v>
      </c>
      <c r="T7" s="16">
        <f>VLOOKUP(6,'tableau entrée 1'!$A$2:$AZ$23,20,FALSE)</f>
        <v>689</v>
      </c>
      <c r="U7" s="16">
        <f>VLOOKUP(6,'tableau entrée 1'!$A$2:$AZ$23,21,FALSE)</f>
        <v>583</v>
      </c>
      <c r="V7" s="16">
        <f>VLOOKUP(6,'tableau entrée 1'!$A$2:$AZ$23,22,FALSE)</f>
        <v>427</v>
      </c>
      <c r="W7" s="16">
        <f>VLOOKUP(6,'tableau entrée 1'!$A$2:$AZ$23,23,FALSE)</f>
        <v>297</v>
      </c>
      <c r="X7" s="16">
        <f>VLOOKUP(6,'tableau entrée 1'!$A$2:$AZ$23,24,FALSE)</f>
        <v>316</v>
      </c>
      <c r="Y7" s="16">
        <f>VLOOKUP(6,'tableau entrée 1'!$A$2:$AZ$23,25,FALSE)</f>
        <v>223</v>
      </c>
      <c r="Z7" s="16">
        <f>VLOOKUP(6,'tableau entrée 1'!$A$2:$AZ$23,26,FALSE)</f>
        <v>164</v>
      </c>
      <c r="AA7" s="16">
        <f>VLOOKUP(6,'tableau entrée 1'!$A$2:$AZ$23,27,FALSE)</f>
        <v>272</v>
      </c>
      <c r="AB7" s="16">
        <f>VLOOKUP(6,'tableau entrée 1'!$A$2:$AZ$23,28,FALSE)</f>
        <v>383</v>
      </c>
      <c r="AC7" s="16">
        <f>VLOOKUP(6,'tableau entrée 1'!$A$2:$AZ$23,29,FALSE)</f>
        <v>245</v>
      </c>
      <c r="AD7" s="16">
        <f>VLOOKUP(6,'tableau entrée 1'!$A$2:$AZ$23,30,FALSE)</f>
        <v>235</v>
      </c>
      <c r="AE7" s="16">
        <f>VLOOKUP(6,'tableau entrée 1'!$A$2:$AZ$23,31,FALSE)</f>
        <v>310</v>
      </c>
      <c r="AF7" s="16">
        <f>VLOOKUP(6,'tableau entrée 1'!$A$2:$AZ$23,32,FALSE)</f>
        <v>259</v>
      </c>
      <c r="AG7" s="16">
        <f>VLOOKUP(6,'tableau entrée 1'!$A$2:$AZ$23,33,FALSE)</f>
        <v>94</v>
      </c>
      <c r="AH7" s="16">
        <f>VLOOKUP(6,'tableau entrée 1'!$A$2:$AZ$23,34,FALSE)</f>
        <v>85</v>
      </c>
      <c r="AI7" s="16">
        <f>VLOOKUP(6,'tableau entrée 1'!$A$2:$AZ$23,35,FALSE)</f>
        <v>80</v>
      </c>
      <c r="AJ7" s="16">
        <f>VLOOKUP(6,'tableau entrée 1'!$A$2:$AZ$23,36,FALSE)</f>
        <v>53</v>
      </c>
    </row>
    <row r="8" spans="1:36" ht="12.75">
      <c r="A8" s="14">
        <v>7</v>
      </c>
      <c r="B8" s="15" t="s">
        <v>32</v>
      </c>
      <c r="C8" s="16" t="s">
        <v>111</v>
      </c>
      <c r="D8" s="16">
        <f>VLOOKUP(7,'tableau entrée 1'!$A$2:$AZ$23,4,FALSE)</f>
        <v>1462</v>
      </c>
      <c r="E8" s="16">
        <f>VLOOKUP(7,'tableau entrée 1'!$A$2:$AZ$23,5,FALSE)</f>
        <v>1201</v>
      </c>
      <c r="F8" s="16">
        <f>VLOOKUP(7,'tableau entrée 1'!$A$2:$AZ$23,6,FALSE)</f>
        <v>1641</v>
      </c>
      <c r="G8" s="16">
        <f>VLOOKUP(7,'tableau entrée 1'!$A$2:$AZ$23,7,FALSE)</f>
        <v>1740</v>
      </c>
      <c r="H8" s="16">
        <f>VLOOKUP(7,'tableau entrée 1'!$A$2:$AZ$23,8,FALSE)</f>
        <v>2337</v>
      </c>
      <c r="I8" s="16">
        <f>VLOOKUP(7,'tableau entrée 1'!$A$2:$AZ$23,9,FALSE)</f>
        <v>1705</v>
      </c>
      <c r="J8" s="16">
        <f>VLOOKUP(7,'tableau entrée 1'!$A$2:$AZ$23,10,FALSE)</f>
        <v>1436</v>
      </c>
      <c r="K8" s="16">
        <f>VLOOKUP(7,'tableau entrée 1'!$A$2:$AZ$23,11,FALSE)</f>
        <v>1057</v>
      </c>
      <c r="L8" s="16">
        <f>VLOOKUP(7,'tableau entrée 1'!$A$2:$AZ$23,12,FALSE)</f>
        <v>1061</v>
      </c>
      <c r="M8" s="16">
        <f>VLOOKUP(7,'tableau entrée 1'!$A$2:$AZ$23,13,FALSE)</f>
        <v>702</v>
      </c>
      <c r="N8" s="16">
        <f>VLOOKUP(7,'tableau entrée 1'!$A$2:$AZ$23,14,FALSE)</f>
        <v>490</v>
      </c>
      <c r="O8" s="16">
        <f>VLOOKUP(7,'tableau entrée 1'!$A$2:$AZ$23,15,FALSE)</f>
        <v>1040</v>
      </c>
      <c r="P8" s="16">
        <f>VLOOKUP(7,'tableau entrée 1'!$A$2:$AZ$23,16,FALSE)</f>
        <v>1396</v>
      </c>
      <c r="Q8" s="16">
        <f>VLOOKUP(7,'tableau entrée 1'!$A$2:$AZ$23,17,FALSE)</f>
        <v>1259</v>
      </c>
      <c r="R8" s="16">
        <f>VLOOKUP(7,'tableau entrée 1'!$A$2:$AZ$23,18,FALSE)</f>
        <v>1802</v>
      </c>
      <c r="S8" s="16">
        <f>VLOOKUP(7,'tableau entrée 1'!$A$2:$AZ$23,19,FALSE)</f>
        <v>1542</v>
      </c>
      <c r="T8" s="16">
        <f>VLOOKUP(7,'tableau entrée 1'!$A$2:$AZ$23,20,FALSE)</f>
        <v>1900</v>
      </c>
      <c r="U8" s="16">
        <f>VLOOKUP(7,'tableau entrée 1'!$A$2:$AZ$23,21,FALSE)</f>
        <v>1623</v>
      </c>
      <c r="V8" s="16">
        <f>VLOOKUP(7,'tableau entrée 1'!$A$2:$AZ$23,22,FALSE)</f>
        <v>1166</v>
      </c>
      <c r="W8" s="16">
        <f>VLOOKUP(7,'tableau entrée 1'!$A$2:$AZ$23,23,FALSE)</f>
        <v>886</v>
      </c>
      <c r="X8" s="16">
        <f>VLOOKUP(7,'tableau entrée 1'!$A$2:$AZ$23,24,FALSE)</f>
        <v>927</v>
      </c>
      <c r="Y8" s="16">
        <f>VLOOKUP(7,'tableau entrée 1'!$A$2:$AZ$23,25,FALSE)</f>
        <v>621</v>
      </c>
      <c r="Z8" s="16">
        <f>VLOOKUP(7,'tableau entrée 1'!$A$2:$AZ$23,26,FALSE)</f>
        <v>550</v>
      </c>
      <c r="AA8" s="16">
        <f>VLOOKUP(7,'tableau entrée 1'!$A$2:$AZ$23,27,FALSE)</f>
        <v>992</v>
      </c>
      <c r="AB8" s="16">
        <f>VLOOKUP(7,'tableau entrée 1'!$A$2:$AZ$23,28,FALSE)</f>
        <v>1572</v>
      </c>
      <c r="AC8" s="16">
        <f>VLOOKUP(7,'tableau entrée 1'!$A$2:$AZ$23,29,FALSE)</f>
        <v>1293</v>
      </c>
      <c r="AD8" s="16">
        <f>VLOOKUP(7,'tableau entrée 1'!$A$2:$AZ$23,30,FALSE)</f>
        <v>1577</v>
      </c>
      <c r="AE8" s="16">
        <f>VLOOKUP(7,'tableau entrée 1'!$A$2:$AZ$23,31,FALSE)</f>
        <v>2267</v>
      </c>
      <c r="AF8" s="16">
        <f>VLOOKUP(7,'tableau entrée 1'!$A$2:$AZ$23,32,FALSE)</f>
        <v>2079</v>
      </c>
      <c r="AG8" s="16">
        <f>VLOOKUP(7,'tableau entrée 1'!$A$2:$AZ$23,33,FALSE)</f>
        <v>1380</v>
      </c>
      <c r="AH8" s="16">
        <f>VLOOKUP(7,'tableau entrée 1'!$A$2:$AZ$23,34,FALSE)</f>
        <v>1125</v>
      </c>
      <c r="AI8" s="16">
        <f>VLOOKUP(7,'tableau entrée 1'!$A$2:$AZ$23,35,FALSE)</f>
        <v>1148</v>
      </c>
      <c r="AJ8" s="16">
        <f>VLOOKUP(7,'tableau entrée 1'!$A$2:$AZ$23,36,FALSE)</f>
        <v>1007</v>
      </c>
    </row>
    <row r="9" spans="1:36" ht="12.75">
      <c r="A9" s="14">
        <v>8</v>
      </c>
      <c r="B9" s="15" t="s">
        <v>33</v>
      </c>
      <c r="C9" s="16" t="s">
        <v>111</v>
      </c>
      <c r="D9" s="16">
        <f>VLOOKUP(8,'tableau entrée 1'!$A$2:$AZ$23,4,FALSE)</f>
        <v>3826</v>
      </c>
      <c r="E9" s="16">
        <f>VLOOKUP(8,'tableau entrée 1'!$A$2:$AZ$23,5,FALSE)</f>
        <v>3427</v>
      </c>
      <c r="F9" s="16">
        <f>VLOOKUP(8,'tableau entrée 1'!$A$2:$AZ$23,6,FALSE)</f>
        <v>4291</v>
      </c>
      <c r="G9" s="16">
        <f>VLOOKUP(8,'tableau entrée 1'!$A$2:$AZ$23,7,FALSE)</f>
        <v>4865</v>
      </c>
      <c r="H9" s="16">
        <f>VLOOKUP(8,'tableau entrée 1'!$A$2:$AZ$23,8,FALSE)</f>
        <v>6658</v>
      </c>
      <c r="I9" s="16">
        <f>VLOOKUP(8,'tableau entrée 1'!$A$2:$AZ$23,9,FALSE)</f>
        <v>5511</v>
      </c>
      <c r="J9" s="16">
        <f>VLOOKUP(8,'tableau entrée 1'!$A$2:$AZ$23,10,FALSE)</f>
        <v>3920</v>
      </c>
      <c r="K9" s="16">
        <f>VLOOKUP(8,'tableau entrée 1'!$A$2:$AZ$23,11,FALSE)</f>
        <v>2795</v>
      </c>
      <c r="L9" s="16">
        <f>VLOOKUP(8,'tableau entrée 1'!$A$2:$AZ$23,12,FALSE)</f>
        <v>2437</v>
      </c>
      <c r="M9" s="16">
        <f>VLOOKUP(8,'tableau entrée 1'!$A$2:$AZ$23,13,FALSE)</f>
        <v>1501</v>
      </c>
      <c r="N9" s="16">
        <f>VLOOKUP(8,'tableau entrée 1'!$A$2:$AZ$23,14,FALSE)</f>
        <v>1417</v>
      </c>
      <c r="O9" s="16">
        <f>VLOOKUP(8,'tableau entrée 1'!$A$2:$AZ$23,15,FALSE)</f>
        <v>2357</v>
      </c>
      <c r="P9" s="16">
        <f>VLOOKUP(8,'tableau entrée 1'!$A$2:$AZ$23,16,FALSE)</f>
        <v>2925</v>
      </c>
      <c r="Q9" s="16">
        <f>VLOOKUP(8,'tableau entrée 1'!$A$2:$AZ$23,17,FALSE)</f>
        <v>2581</v>
      </c>
      <c r="R9" s="16">
        <f>VLOOKUP(8,'tableau entrée 1'!$A$2:$AZ$23,18,FALSE)</f>
        <v>3589</v>
      </c>
      <c r="S9" s="16">
        <f>VLOOKUP(8,'tableau entrée 1'!$A$2:$AZ$23,19,FALSE)</f>
        <v>3681</v>
      </c>
      <c r="T9" s="16">
        <f>VLOOKUP(8,'tableau entrée 1'!$A$2:$AZ$23,20,FALSE)</f>
        <v>3704</v>
      </c>
      <c r="U9" s="16">
        <f>VLOOKUP(8,'tableau entrée 1'!$A$2:$AZ$23,21,FALSE)</f>
        <v>3326</v>
      </c>
      <c r="V9" s="16">
        <f>VLOOKUP(8,'tableau entrée 1'!$A$2:$AZ$23,22,FALSE)</f>
        <v>2486</v>
      </c>
      <c r="W9" s="16">
        <f>VLOOKUP(8,'tableau entrée 1'!$A$2:$AZ$23,23,FALSE)</f>
        <v>1944</v>
      </c>
      <c r="X9" s="16">
        <f>VLOOKUP(8,'tableau entrée 1'!$A$2:$AZ$23,24,FALSE)</f>
        <v>1677</v>
      </c>
      <c r="Y9" s="16">
        <f>VLOOKUP(8,'tableau entrée 1'!$A$2:$AZ$23,25,FALSE)</f>
        <v>1184</v>
      </c>
      <c r="Z9" s="16">
        <f>VLOOKUP(8,'tableau entrée 1'!$A$2:$AZ$23,26,FALSE)</f>
        <v>1279</v>
      </c>
      <c r="AA9" s="16">
        <f>VLOOKUP(8,'tableau entrée 1'!$A$2:$AZ$23,27,FALSE)</f>
        <v>1673</v>
      </c>
      <c r="AB9" s="16">
        <f>VLOOKUP(8,'tableau entrée 1'!$A$2:$AZ$23,28,FALSE)</f>
        <v>2455</v>
      </c>
      <c r="AC9" s="16">
        <f>VLOOKUP(8,'tableau entrée 1'!$A$2:$AZ$23,29,FALSE)</f>
        <v>2276</v>
      </c>
      <c r="AD9" s="16">
        <f>VLOOKUP(8,'tableau entrée 1'!$A$2:$AZ$23,30,FALSE)</f>
        <v>2544</v>
      </c>
      <c r="AE9" s="16">
        <f>VLOOKUP(8,'tableau entrée 1'!$A$2:$AZ$23,31,FALSE)</f>
        <v>4081</v>
      </c>
      <c r="AF9" s="16">
        <f>VLOOKUP(8,'tableau entrée 1'!$A$2:$AZ$23,32,FALSE)</f>
        <v>3625</v>
      </c>
      <c r="AG9" s="16">
        <f>VLOOKUP(8,'tableau entrée 1'!$A$2:$AZ$23,33,FALSE)</f>
        <v>2440</v>
      </c>
      <c r="AH9" s="16">
        <f>VLOOKUP(8,'tableau entrée 1'!$A$2:$AZ$23,34,FALSE)</f>
        <v>1956</v>
      </c>
      <c r="AI9" s="16">
        <f>VLOOKUP(8,'tableau entrée 1'!$A$2:$AZ$23,35,FALSE)</f>
        <v>1969</v>
      </c>
      <c r="AJ9" s="16">
        <f>VLOOKUP(8,'tableau entrée 1'!$A$2:$AZ$23,36,FALSE)</f>
        <v>1679</v>
      </c>
    </row>
    <row r="10" spans="1:36" ht="12.75">
      <c r="A10" s="14">
        <v>9</v>
      </c>
      <c r="B10" s="15" t="s">
        <v>34</v>
      </c>
      <c r="C10" s="16" t="s">
        <v>111</v>
      </c>
      <c r="D10" s="16">
        <f>VLOOKUP(9,'tableau entrée 1'!$A$2:$AZ$23,4,FALSE)</f>
        <v>2492</v>
      </c>
      <c r="E10" s="16">
        <f>VLOOKUP(9,'tableau entrée 1'!$A$2:$AZ$23,5,FALSE)</f>
        <v>2287</v>
      </c>
      <c r="F10" s="16">
        <f>VLOOKUP(9,'tableau entrée 1'!$A$2:$AZ$23,6,FALSE)</f>
        <v>3013</v>
      </c>
      <c r="G10" s="16">
        <f>VLOOKUP(9,'tableau entrée 1'!$A$2:$AZ$23,7,FALSE)</f>
        <v>3182</v>
      </c>
      <c r="H10" s="16">
        <f>VLOOKUP(9,'tableau entrée 1'!$A$2:$AZ$23,8,FALSE)</f>
        <v>4034</v>
      </c>
      <c r="I10" s="16">
        <f>VLOOKUP(9,'tableau entrée 1'!$A$2:$AZ$23,9,FALSE)</f>
        <v>3500</v>
      </c>
      <c r="J10" s="16">
        <f>VLOOKUP(9,'tableau entrée 1'!$A$2:$AZ$23,10,FALSE)</f>
        <v>3123</v>
      </c>
      <c r="K10" s="16">
        <f>VLOOKUP(9,'tableau entrée 1'!$A$2:$AZ$23,11,FALSE)</f>
        <v>2259</v>
      </c>
      <c r="L10" s="16">
        <f>VLOOKUP(9,'tableau entrée 1'!$A$2:$AZ$23,12,FALSE)</f>
        <v>2194</v>
      </c>
      <c r="M10" s="16">
        <f>VLOOKUP(9,'tableau entrée 1'!$A$2:$AZ$23,13,FALSE)</f>
        <v>1740</v>
      </c>
      <c r="N10" s="16">
        <f>VLOOKUP(9,'tableau entrée 1'!$A$2:$AZ$23,14,FALSE)</f>
        <v>1351</v>
      </c>
      <c r="O10" s="16">
        <f>VLOOKUP(9,'tableau entrée 1'!$A$2:$AZ$23,15,FALSE)</f>
        <v>1953</v>
      </c>
      <c r="P10" s="16">
        <f>VLOOKUP(9,'tableau entrée 1'!$A$2:$AZ$23,16,FALSE)</f>
        <v>2295</v>
      </c>
      <c r="Q10" s="16">
        <f>VLOOKUP(9,'tableau entrée 1'!$A$2:$AZ$23,17,FALSE)</f>
        <v>2140</v>
      </c>
      <c r="R10" s="16">
        <f>VLOOKUP(9,'tableau entrée 1'!$A$2:$AZ$23,18,FALSE)</f>
        <v>2805</v>
      </c>
      <c r="S10" s="16">
        <f>VLOOKUP(9,'tableau entrée 1'!$A$2:$AZ$23,19,FALSE)</f>
        <v>2429</v>
      </c>
      <c r="T10" s="16">
        <f>VLOOKUP(9,'tableau entrée 1'!$A$2:$AZ$23,20,FALSE)</f>
        <v>2665</v>
      </c>
      <c r="U10" s="16">
        <f>VLOOKUP(9,'tableau entrée 1'!$A$2:$AZ$23,21,FALSE)</f>
        <v>2649</v>
      </c>
      <c r="V10" s="16">
        <f>VLOOKUP(9,'tableau entrée 1'!$A$2:$AZ$23,22,FALSE)</f>
        <v>2139</v>
      </c>
      <c r="W10" s="16">
        <f>VLOOKUP(9,'tableau entrée 1'!$A$2:$AZ$23,23,FALSE)</f>
        <v>1838</v>
      </c>
      <c r="X10" s="16">
        <f>VLOOKUP(9,'tableau entrée 1'!$A$2:$AZ$23,24,FALSE)</f>
        <v>1835</v>
      </c>
      <c r="Y10" s="16">
        <f>VLOOKUP(9,'tableau entrée 1'!$A$2:$AZ$23,25,FALSE)</f>
        <v>1696</v>
      </c>
      <c r="Z10" s="16">
        <f>VLOOKUP(9,'tableau entrée 1'!$A$2:$AZ$23,26,FALSE)</f>
        <v>1566</v>
      </c>
      <c r="AA10" s="16">
        <f>VLOOKUP(9,'tableau entrée 1'!$A$2:$AZ$23,27,FALSE)</f>
        <v>1922</v>
      </c>
      <c r="AB10" s="16">
        <f>VLOOKUP(9,'tableau entrée 1'!$A$2:$AZ$23,28,FALSE)</f>
        <v>2468</v>
      </c>
      <c r="AC10" s="16">
        <f>VLOOKUP(9,'tableau entrée 1'!$A$2:$AZ$23,29,FALSE)</f>
        <v>2178</v>
      </c>
      <c r="AD10" s="16">
        <f>VLOOKUP(9,'tableau entrée 1'!$A$2:$AZ$23,30,FALSE)</f>
        <v>2542</v>
      </c>
      <c r="AE10" s="16">
        <f>VLOOKUP(9,'tableau entrée 1'!$A$2:$AZ$23,31,FALSE)</f>
        <v>3276</v>
      </c>
      <c r="AF10" s="16">
        <f>VLOOKUP(9,'tableau entrée 1'!$A$2:$AZ$23,32,FALSE)</f>
        <v>2980</v>
      </c>
      <c r="AG10" s="16">
        <f>VLOOKUP(9,'tableau entrée 1'!$A$2:$AZ$23,33,FALSE)</f>
        <v>2353</v>
      </c>
      <c r="AH10" s="16">
        <f>VLOOKUP(9,'tableau entrée 1'!$A$2:$AZ$23,34,FALSE)</f>
        <v>1895</v>
      </c>
      <c r="AI10" s="16">
        <f>VLOOKUP(9,'tableau entrée 1'!$A$2:$AZ$23,35,FALSE)</f>
        <v>2078</v>
      </c>
      <c r="AJ10" s="16">
        <f>VLOOKUP(9,'tableau entrée 1'!$A$2:$AZ$23,36,FALSE)</f>
        <v>2021</v>
      </c>
    </row>
    <row r="11" spans="1:36" ht="12.75">
      <c r="A11" s="14">
        <v>10</v>
      </c>
      <c r="B11" s="15" t="s">
        <v>35</v>
      </c>
      <c r="C11" s="16" t="s">
        <v>111</v>
      </c>
      <c r="D11" s="16">
        <f>VLOOKUP(10,'tableau entrée 1'!$A$2:$AZ$23,4,FALSE)</f>
        <v>8193</v>
      </c>
      <c r="E11" s="16">
        <f>VLOOKUP(10,'tableau entrée 1'!$A$2:$AZ$23,5,FALSE)</f>
        <v>7282</v>
      </c>
      <c r="F11" s="16">
        <f>VLOOKUP(10,'tableau entrée 1'!$A$2:$AZ$23,6,FALSE)</f>
        <v>9981</v>
      </c>
      <c r="G11" s="16">
        <f>VLOOKUP(10,'tableau entrée 1'!$A$2:$AZ$23,7,FALSE)</f>
        <v>10951</v>
      </c>
      <c r="H11" s="16">
        <f>VLOOKUP(10,'tableau entrée 1'!$A$2:$AZ$23,8,FALSE)</f>
        <v>14165</v>
      </c>
      <c r="I11" s="16">
        <f>VLOOKUP(10,'tableau entrée 1'!$A$2:$AZ$23,9,FALSE)</f>
        <v>11295</v>
      </c>
      <c r="J11" s="16">
        <f>VLOOKUP(10,'tableau entrée 1'!$A$2:$AZ$23,10,FALSE)</f>
        <v>9989</v>
      </c>
      <c r="K11" s="16">
        <f>VLOOKUP(10,'tableau entrée 1'!$A$2:$AZ$23,11,FALSE)</f>
        <v>7037</v>
      </c>
      <c r="L11" s="16">
        <f>VLOOKUP(10,'tableau entrée 1'!$A$2:$AZ$23,12,FALSE)</f>
        <v>6856</v>
      </c>
      <c r="M11" s="16">
        <f>VLOOKUP(10,'tableau entrée 1'!$A$2:$AZ$23,13,FALSE)</f>
        <v>4816</v>
      </c>
      <c r="N11" s="16">
        <f>VLOOKUP(10,'tableau entrée 1'!$A$2:$AZ$23,14,FALSE)</f>
        <v>3795</v>
      </c>
      <c r="O11" s="16">
        <f>VLOOKUP(10,'tableau entrée 1'!$A$2:$AZ$23,15,FALSE)</f>
        <v>5987</v>
      </c>
      <c r="P11" s="16">
        <f>VLOOKUP(10,'tableau entrée 1'!$A$2:$AZ$23,16,FALSE)</f>
        <v>7842</v>
      </c>
      <c r="Q11" s="16">
        <f>VLOOKUP(10,'tableau entrée 1'!$A$2:$AZ$23,17,FALSE)</f>
        <v>6532</v>
      </c>
      <c r="R11" s="16">
        <f>VLOOKUP(10,'tableau entrée 1'!$A$2:$AZ$23,18,FALSE)</f>
        <v>10146</v>
      </c>
      <c r="S11" s="16">
        <f>VLOOKUP(10,'tableau entrée 1'!$A$2:$AZ$23,19,FALSE)</f>
        <v>8816</v>
      </c>
      <c r="T11" s="16">
        <f>VLOOKUP(10,'tableau entrée 1'!$A$2:$AZ$23,20,FALSE)</f>
        <v>10881</v>
      </c>
      <c r="U11" s="16">
        <f>VLOOKUP(10,'tableau entrée 1'!$A$2:$AZ$23,21,FALSE)</f>
        <v>9478</v>
      </c>
      <c r="V11" s="16">
        <f>VLOOKUP(10,'tableau entrée 1'!$A$2:$AZ$23,22,FALSE)</f>
        <v>8186</v>
      </c>
      <c r="W11" s="16">
        <f>VLOOKUP(10,'tableau entrée 1'!$A$2:$AZ$23,23,FALSE)</f>
        <v>6356</v>
      </c>
      <c r="X11" s="16">
        <f>VLOOKUP(10,'tableau entrée 1'!$A$2:$AZ$23,24,FALSE)</f>
        <v>6121</v>
      </c>
      <c r="Y11" s="16">
        <f>VLOOKUP(10,'tableau entrée 1'!$A$2:$AZ$23,25,FALSE)</f>
        <v>5296</v>
      </c>
      <c r="Z11" s="16">
        <f>VLOOKUP(10,'tableau entrée 1'!$A$2:$AZ$23,26,FALSE)</f>
        <v>4319</v>
      </c>
      <c r="AA11" s="16">
        <f>VLOOKUP(10,'tableau entrée 1'!$A$2:$AZ$23,27,FALSE)</f>
        <v>5484</v>
      </c>
      <c r="AB11" s="16">
        <f>VLOOKUP(10,'tableau entrée 1'!$A$2:$AZ$23,28,FALSE)</f>
        <v>9115</v>
      </c>
      <c r="AC11" s="16">
        <f>VLOOKUP(10,'tableau entrée 1'!$A$2:$AZ$23,29,FALSE)</f>
        <v>8075</v>
      </c>
      <c r="AD11" s="16">
        <f>VLOOKUP(10,'tableau entrée 1'!$A$2:$AZ$23,30,FALSE)</f>
        <v>10274</v>
      </c>
      <c r="AE11" s="16">
        <f>VLOOKUP(10,'tableau entrée 1'!$A$2:$AZ$23,31,FALSE)</f>
        <v>14313</v>
      </c>
      <c r="AF11" s="16">
        <f>VLOOKUP(10,'tableau entrée 1'!$A$2:$AZ$23,32,FALSE)</f>
        <v>13672</v>
      </c>
      <c r="AG11" s="16">
        <f>VLOOKUP(10,'tableau entrée 1'!$A$2:$AZ$23,33,FALSE)</f>
        <v>9165</v>
      </c>
      <c r="AH11" s="16">
        <f>VLOOKUP(10,'tableau entrée 1'!$A$2:$AZ$23,34,FALSE)</f>
        <v>7303</v>
      </c>
      <c r="AI11" s="16">
        <f>VLOOKUP(10,'tableau entrée 1'!$A$2:$AZ$23,35,FALSE)</f>
        <v>7657</v>
      </c>
      <c r="AJ11" s="16">
        <f>VLOOKUP(10,'tableau entrée 1'!$A$2:$AZ$23,36,FALSE)</f>
        <v>7070</v>
      </c>
    </row>
    <row r="12" spans="1:36" ht="12.75">
      <c r="A12" s="14">
        <v>11</v>
      </c>
      <c r="B12" s="15" t="s">
        <v>36</v>
      </c>
      <c r="C12" s="16" t="s">
        <v>111</v>
      </c>
      <c r="D12" s="16">
        <f>VLOOKUP(11,'tableau entrée 1'!$A$2:$AZ$23,4,FALSE)</f>
        <v>1067</v>
      </c>
      <c r="E12" s="16">
        <f>VLOOKUP(11,'tableau entrée 1'!$A$2:$AZ$23,5,FALSE)</f>
        <v>957</v>
      </c>
      <c r="F12" s="16">
        <f>VLOOKUP(11,'tableau entrée 1'!$A$2:$AZ$23,6,FALSE)</f>
        <v>1090</v>
      </c>
      <c r="G12" s="16">
        <f>VLOOKUP(11,'tableau entrée 1'!$A$2:$AZ$23,7,FALSE)</f>
        <v>1262</v>
      </c>
      <c r="H12" s="16">
        <f>VLOOKUP(11,'tableau entrée 1'!$A$2:$AZ$23,8,FALSE)</f>
        <v>1510</v>
      </c>
      <c r="I12" s="16">
        <f>VLOOKUP(11,'tableau entrée 1'!$A$2:$AZ$23,9,FALSE)</f>
        <v>1177</v>
      </c>
      <c r="J12" s="16">
        <f>VLOOKUP(11,'tableau entrée 1'!$A$2:$AZ$23,10,FALSE)</f>
        <v>780</v>
      </c>
      <c r="K12" s="16">
        <f>VLOOKUP(11,'tableau entrée 1'!$A$2:$AZ$23,11,FALSE)</f>
        <v>604</v>
      </c>
      <c r="L12" s="16">
        <f>VLOOKUP(11,'tableau entrée 1'!$A$2:$AZ$23,12,FALSE)</f>
        <v>414</v>
      </c>
      <c r="M12" s="16">
        <f>VLOOKUP(11,'tableau entrée 1'!$A$2:$AZ$23,13,FALSE)</f>
        <v>288</v>
      </c>
      <c r="N12" s="16">
        <f>VLOOKUP(11,'tableau entrée 1'!$A$2:$AZ$23,14,FALSE)</f>
        <v>268</v>
      </c>
      <c r="O12" s="16">
        <f>VLOOKUP(11,'tableau entrée 1'!$A$2:$AZ$23,15,FALSE)</f>
        <v>487</v>
      </c>
      <c r="P12" s="16">
        <f>VLOOKUP(11,'tableau entrée 1'!$A$2:$AZ$23,16,FALSE)</f>
        <v>571</v>
      </c>
      <c r="Q12" s="16">
        <f>VLOOKUP(11,'tableau entrée 1'!$A$2:$AZ$23,17,FALSE)</f>
        <v>480</v>
      </c>
      <c r="R12" s="16">
        <f>VLOOKUP(11,'tableau entrée 1'!$A$2:$AZ$23,18,FALSE)</f>
        <v>704</v>
      </c>
      <c r="S12" s="16">
        <f>VLOOKUP(11,'tableau entrée 1'!$A$2:$AZ$23,19,FALSE)</f>
        <v>731</v>
      </c>
      <c r="T12" s="16">
        <f>VLOOKUP(11,'tableau entrée 1'!$A$2:$AZ$23,20,FALSE)</f>
        <v>824</v>
      </c>
      <c r="U12" s="16">
        <f>VLOOKUP(11,'tableau entrée 1'!$A$2:$AZ$23,21,FALSE)</f>
        <v>778</v>
      </c>
      <c r="V12" s="16">
        <f>VLOOKUP(11,'tableau entrée 1'!$A$2:$AZ$23,22,FALSE)</f>
        <v>464</v>
      </c>
      <c r="W12" s="16">
        <f>VLOOKUP(11,'tableau entrée 1'!$A$2:$AZ$23,23,FALSE)</f>
        <v>398</v>
      </c>
      <c r="X12" s="16">
        <f>VLOOKUP(11,'tableau entrée 1'!$A$2:$AZ$23,24,FALSE)</f>
        <v>323</v>
      </c>
      <c r="Y12" s="16">
        <f>VLOOKUP(11,'tableau entrée 1'!$A$2:$AZ$23,25,FALSE)</f>
        <v>267</v>
      </c>
      <c r="Z12" s="16">
        <f>VLOOKUP(11,'tableau entrée 1'!$A$2:$AZ$23,26,FALSE)</f>
        <v>293</v>
      </c>
      <c r="AA12" s="16">
        <f>VLOOKUP(11,'tableau entrée 1'!$A$2:$AZ$23,27,FALSE)</f>
        <v>399</v>
      </c>
      <c r="AB12" s="16">
        <f>VLOOKUP(11,'tableau entrée 1'!$A$2:$AZ$23,28,FALSE)</f>
        <v>636</v>
      </c>
      <c r="AC12" s="16">
        <f>VLOOKUP(11,'tableau entrée 1'!$A$2:$AZ$23,29,FALSE)</f>
        <v>610</v>
      </c>
      <c r="AD12" s="16">
        <f>VLOOKUP(11,'tableau entrée 1'!$A$2:$AZ$23,30,FALSE)</f>
        <v>581</v>
      </c>
      <c r="AE12" s="16">
        <f>VLOOKUP(11,'tableau entrée 1'!$A$2:$AZ$23,31,FALSE)</f>
        <v>1011</v>
      </c>
      <c r="AF12" s="16">
        <f>VLOOKUP(11,'tableau entrée 1'!$A$2:$AZ$23,32,FALSE)</f>
        <v>897</v>
      </c>
      <c r="AG12" s="16">
        <f>VLOOKUP(11,'tableau entrée 1'!$A$2:$AZ$23,33,FALSE)</f>
        <v>581</v>
      </c>
      <c r="AH12" s="16">
        <f>VLOOKUP(11,'tableau entrée 1'!$A$2:$AZ$23,34,FALSE)</f>
        <v>419</v>
      </c>
      <c r="AI12" s="16">
        <f>VLOOKUP(11,'tableau entrée 1'!$A$2:$AZ$23,35,FALSE)</f>
        <v>391</v>
      </c>
      <c r="AJ12" s="16">
        <f>VLOOKUP(11,'tableau entrée 1'!$A$2:$AZ$23,36,FALSE)</f>
        <v>299</v>
      </c>
    </row>
    <row r="13" spans="1:36" ht="12.75">
      <c r="A13" s="14">
        <v>12</v>
      </c>
      <c r="B13" s="15" t="s">
        <v>37</v>
      </c>
      <c r="C13" s="16" t="s">
        <v>111</v>
      </c>
      <c r="D13" s="16">
        <f>VLOOKUP(12,'tableau entrée 1'!$A$2:$AZ$23,4,FALSE)</f>
        <v>1163</v>
      </c>
      <c r="E13" s="16">
        <f>VLOOKUP(12,'tableau entrée 1'!$A$2:$AZ$23,5,FALSE)</f>
        <v>1137</v>
      </c>
      <c r="F13" s="16">
        <f>VLOOKUP(12,'tableau entrée 1'!$A$2:$AZ$23,6,FALSE)</f>
        <v>1272</v>
      </c>
      <c r="G13" s="16">
        <f>VLOOKUP(12,'tableau entrée 1'!$A$2:$AZ$23,7,FALSE)</f>
        <v>1607</v>
      </c>
      <c r="H13" s="16">
        <f>VLOOKUP(12,'tableau entrée 1'!$A$2:$AZ$23,8,FALSE)</f>
        <v>2177</v>
      </c>
      <c r="I13" s="16">
        <f>VLOOKUP(12,'tableau entrée 1'!$A$2:$AZ$23,9,FALSE)</f>
        <v>2087</v>
      </c>
      <c r="J13" s="16">
        <f>VLOOKUP(12,'tableau entrée 1'!$A$2:$AZ$23,10,FALSE)</f>
        <v>1191</v>
      </c>
      <c r="K13" s="16">
        <f>VLOOKUP(12,'tableau entrée 1'!$A$2:$AZ$23,11,FALSE)</f>
        <v>1074</v>
      </c>
      <c r="L13" s="16">
        <f>VLOOKUP(12,'tableau entrée 1'!$A$2:$AZ$23,12,FALSE)</f>
        <v>823</v>
      </c>
      <c r="M13" s="16">
        <f>VLOOKUP(12,'tableau entrée 1'!$A$2:$AZ$23,13,FALSE)</f>
        <v>589</v>
      </c>
      <c r="N13" s="16">
        <f>VLOOKUP(12,'tableau entrée 1'!$A$2:$AZ$23,14,FALSE)</f>
        <v>670</v>
      </c>
      <c r="O13" s="16">
        <f>VLOOKUP(12,'tableau entrée 1'!$A$2:$AZ$23,15,FALSE)</f>
        <v>802</v>
      </c>
      <c r="P13" s="16">
        <f>VLOOKUP(12,'tableau entrée 1'!$A$2:$AZ$23,16,FALSE)</f>
        <v>983</v>
      </c>
      <c r="Q13" s="16">
        <f>VLOOKUP(12,'tableau entrée 1'!$A$2:$AZ$23,17,FALSE)</f>
        <v>992</v>
      </c>
      <c r="R13" s="16">
        <f>VLOOKUP(12,'tableau entrée 1'!$A$2:$AZ$23,18,FALSE)</f>
        <v>1265</v>
      </c>
      <c r="S13" s="16">
        <f>VLOOKUP(12,'tableau entrée 1'!$A$2:$AZ$23,19,FALSE)</f>
        <v>1508</v>
      </c>
      <c r="T13" s="16">
        <f>VLOOKUP(12,'tableau entrée 1'!$A$2:$AZ$23,20,FALSE)</f>
        <v>1311</v>
      </c>
      <c r="U13" s="16">
        <f>VLOOKUP(12,'tableau entrée 1'!$A$2:$AZ$23,21,FALSE)</f>
        <v>1548</v>
      </c>
      <c r="V13" s="16">
        <f>VLOOKUP(12,'tableau entrée 1'!$A$2:$AZ$23,22,FALSE)</f>
        <v>932</v>
      </c>
      <c r="W13" s="16">
        <f>VLOOKUP(12,'tableau entrée 1'!$A$2:$AZ$23,23,FALSE)</f>
        <v>908</v>
      </c>
      <c r="X13" s="16">
        <f>VLOOKUP(12,'tableau entrée 1'!$A$2:$AZ$23,24,FALSE)</f>
        <v>844</v>
      </c>
      <c r="Y13" s="16">
        <f>VLOOKUP(12,'tableau entrée 1'!$A$2:$AZ$23,25,FALSE)</f>
        <v>619</v>
      </c>
      <c r="Z13" s="16">
        <f>VLOOKUP(12,'tableau entrée 1'!$A$2:$AZ$23,26,FALSE)</f>
        <v>674</v>
      </c>
      <c r="AA13" s="16">
        <f>VLOOKUP(12,'tableau entrée 1'!$A$2:$AZ$23,27,FALSE)</f>
        <v>783</v>
      </c>
      <c r="AB13" s="16">
        <f>VLOOKUP(12,'tableau entrée 1'!$A$2:$AZ$23,28,FALSE)</f>
        <v>1078</v>
      </c>
      <c r="AC13" s="16">
        <f>VLOOKUP(12,'tableau entrée 1'!$A$2:$AZ$23,29,FALSE)</f>
        <v>1004</v>
      </c>
      <c r="AD13" s="16">
        <f>VLOOKUP(12,'tableau entrée 1'!$A$2:$AZ$23,30,FALSE)</f>
        <v>1093</v>
      </c>
      <c r="AE13" s="16">
        <f>VLOOKUP(12,'tableau entrée 1'!$A$2:$AZ$23,31,FALSE)</f>
        <v>1956</v>
      </c>
      <c r="AF13" s="16">
        <f>VLOOKUP(12,'tableau entrée 1'!$A$2:$AZ$23,32,FALSE)</f>
        <v>1684</v>
      </c>
      <c r="AG13" s="16">
        <f>VLOOKUP(12,'tableau entrée 1'!$A$2:$AZ$23,33,FALSE)</f>
        <v>1208</v>
      </c>
      <c r="AH13" s="16">
        <f>VLOOKUP(12,'tableau entrée 1'!$A$2:$AZ$23,34,FALSE)</f>
        <v>929</v>
      </c>
      <c r="AI13" s="16">
        <f>VLOOKUP(12,'tableau entrée 1'!$A$2:$AZ$23,35,FALSE)</f>
        <v>954</v>
      </c>
      <c r="AJ13" s="16">
        <f>VLOOKUP(12,'tableau entrée 1'!$A$2:$AZ$23,36,FALSE)</f>
        <v>859</v>
      </c>
    </row>
    <row r="14" spans="1:36" ht="12.75">
      <c r="A14" s="14">
        <v>13</v>
      </c>
      <c r="B14" s="15" t="s">
        <v>38</v>
      </c>
      <c r="C14" s="16" t="s">
        <v>111</v>
      </c>
      <c r="D14" s="16">
        <f>VLOOKUP(13,'tableau entrée 1'!$A$2:$AZ$23,4,FALSE)</f>
        <v>1844</v>
      </c>
      <c r="E14" s="16">
        <f>VLOOKUP(13,'tableau entrée 1'!$A$2:$AZ$23,5,FALSE)</f>
        <v>1716</v>
      </c>
      <c r="F14" s="16">
        <f>VLOOKUP(13,'tableau entrée 1'!$A$2:$AZ$23,6,FALSE)</f>
        <v>2060</v>
      </c>
      <c r="G14" s="16">
        <f>VLOOKUP(13,'tableau entrée 1'!$A$2:$AZ$23,7,FALSE)</f>
        <v>2523</v>
      </c>
      <c r="H14" s="16">
        <f>VLOOKUP(13,'tableau entrée 1'!$A$2:$AZ$23,8,FALSE)</f>
        <v>3520</v>
      </c>
      <c r="I14" s="16">
        <f>VLOOKUP(13,'tableau entrée 1'!$A$2:$AZ$23,9,FALSE)</f>
        <v>2586</v>
      </c>
      <c r="J14" s="16">
        <f>VLOOKUP(13,'tableau entrée 1'!$A$2:$AZ$23,10,FALSE)</f>
        <v>1827</v>
      </c>
      <c r="K14" s="16">
        <f>VLOOKUP(13,'tableau entrée 1'!$A$2:$AZ$23,11,FALSE)</f>
        <v>1519</v>
      </c>
      <c r="L14" s="16">
        <f>VLOOKUP(13,'tableau entrée 1'!$A$2:$AZ$23,12,FALSE)</f>
        <v>1361</v>
      </c>
      <c r="M14" s="16">
        <f>VLOOKUP(13,'tableau entrée 1'!$A$2:$AZ$23,13,FALSE)</f>
        <v>882</v>
      </c>
      <c r="N14" s="16">
        <f>VLOOKUP(13,'tableau entrée 1'!$A$2:$AZ$23,14,FALSE)</f>
        <v>836</v>
      </c>
      <c r="O14" s="16">
        <f>VLOOKUP(13,'tableau entrée 1'!$A$2:$AZ$23,15,FALSE)</f>
        <v>1421</v>
      </c>
      <c r="P14" s="16">
        <f>VLOOKUP(13,'tableau entrée 1'!$A$2:$AZ$23,16,FALSE)</f>
        <v>1713</v>
      </c>
      <c r="Q14" s="16">
        <f>VLOOKUP(13,'tableau entrée 1'!$A$2:$AZ$23,17,FALSE)</f>
        <v>1335</v>
      </c>
      <c r="R14" s="16">
        <f>VLOOKUP(13,'tableau entrée 1'!$A$2:$AZ$23,18,FALSE)</f>
        <v>1919</v>
      </c>
      <c r="S14" s="16">
        <f>VLOOKUP(13,'tableau entrée 1'!$A$2:$AZ$23,19,FALSE)</f>
        <v>1901</v>
      </c>
      <c r="T14" s="16">
        <f>VLOOKUP(13,'tableau entrée 1'!$A$2:$AZ$23,20,FALSE)</f>
        <v>1933</v>
      </c>
      <c r="U14" s="16">
        <f>VLOOKUP(13,'tableau entrée 1'!$A$2:$AZ$23,21,FALSE)</f>
        <v>1839</v>
      </c>
      <c r="V14" s="16">
        <f>VLOOKUP(13,'tableau entrée 1'!$A$2:$AZ$23,22,FALSE)</f>
        <v>1345</v>
      </c>
      <c r="W14" s="16">
        <f>VLOOKUP(13,'tableau entrée 1'!$A$2:$AZ$23,23,FALSE)</f>
        <v>1126</v>
      </c>
      <c r="X14" s="16">
        <f>VLOOKUP(13,'tableau entrée 1'!$A$2:$AZ$23,24,FALSE)</f>
        <v>988</v>
      </c>
      <c r="Y14" s="16">
        <f>VLOOKUP(13,'tableau entrée 1'!$A$2:$AZ$23,25,FALSE)</f>
        <v>720</v>
      </c>
      <c r="Z14" s="16">
        <f>VLOOKUP(13,'tableau entrée 1'!$A$2:$AZ$23,26,FALSE)</f>
        <v>798</v>
      </c>
      <c r="AA14" s="16">
        <f>VLOOKUP(13,'tableau entrée 1'!$A$2:$AZ$23,27,FALSE)</f>
        <v>1065</v>
      </c>
      <c r="AB14" s="16">
        <f>VLOOKUP(13,'tableau entrée 1'!$A$2:$AZ$23,28,FALSE)</f>
        <v>1549</v>
      </c>
      <c r="AC14" s="16">
        <f>VLOOKUP(13,'tableau entrée 1'!$A$2:$AZ$23,29,FALSE)</f>
        <v>1323</v>
      </c>
      <c r="AD14" s="16">
        <f>VLOOKUP(13,'tableau entrée 1'!$A$2:$AZ$23,30,FALSE)</f>
        <v>1473</v>
      </c>
      <c r="AE14" s="16">
        <f>VLOOKUP(13,'tableau entrée 1'!$A$2:$AZ$23,31,FALSE)</f>
        <v>2467</v>
      </c>
      <c r="AF14" s="16">
        <f>VLOOKUP(13,'tableau entrée 1'!$A$2:$AZ$23,32,FALSE)</f>
        <v>2334</v>
      </c>
      <c r="AG14" s="16">
        <f>VLOOKUP(13,'tableau entrée 1'!$A$2:$AZ$23,33,FALSE)</f>
        <v>1451</v>
      </c>
      <c r="AH14" s="16">
        <f>VLOOKUP(13,'tableau entrée 1'!$A$2:$AZ$23,34,FALSE)</f>
        <v>1110</v>
      </c>
      <c r="AI14" s="16">
        <f>VLOOKUP(13,'tableau entrée 1'!$A$2:$AZ$23,35,FALSE)</f>
        <v>1198</v>
      </c>
      <c r="AJ14" s="16">
        <f>VLOOKUP(13,'tableau entrée 1'!$A$2:$AZ$23,36,FALSE)</f>
        <v>991</v>
      </c>
    </row>
    <row r="15" spans="1:36" ht="12.75">
      <c r="A15" s="14">
        <v>14</v>
      </c>
      <c r="B15" s="15" t="s">
        <v>39</v>
      </c>
      <c r="C15" s="16" t="s">
        <v>111</v>
      </c>
      <c r="D15" s="16">
        <f>VLOOKUP(14,'tableau entrée 1'!$A$2:$AZ$23,4,FALSE)</f>
        <v>1559</v>
      </c>
      <c r="E15" s="16">
        <f>VLOOKUP(14,'tableau entrée 1'!$A$2:$AZ$23,5,FALSE)</f>
        <v>1264</v>
      </c>
      <c r="F15" s="16">
        <f>VLOOKUP(14,'tableau entrée 1'!$A$2:$AZ$23,6,FALSE)</f>
        <v>1739</v>
      </c>
      <c r="G15" s="16">
        <f>VLOOKUP(14,'tableau entrée 1'!$A$2:$AZ$23,7,FALSE)</f>
        <v>1916</v>
      </c>
      <c r="H15" s="16">
        <f>VLOOKUP(14,'tableau entrée 1'!$A$2:$AZ$23,8,FALSE)</f>
        <v>2672</v>
      </c>
      <c r="I15" s="16">
        <f>VLOOKUP(14,'tableau entrée 1'!$A$2:$AZ$23,9,FALSE)</f>
        <v>1946</v>
      </c>
      <c r="J15" s="16">
        <f>VLOOKUP(14,'tableau entrée 1'!$A$2:$AZ$23,10,FALSE)</f>
        <v>1780</v>
      </c>
      <c r="K15" s="16">
        <f>VLOOKUP(14,'tableau entrée 1'!$A$2:$AZ$23,11,FALSE)</f>
        <v>1252</v>
      </c>
      <c r="L15" s="16">
        <f>VLOOKUP(14,'tableau entrée 1'!$A$2:$AZ$23,12,FALSE)</f>
        <v>1385</v>
      </c>
      <c r="M15" s="16">
        <f>VLOOKUP(14,'tableau entrée 1'!$A$2:$AZ$23,13,FALSE)</f>
        <v>928</v>
      </c>
      <c r="N15" s="16">
        <f>VLOOKUP(14,'tableau entrée 1'!$A$2:$AZ$23,14,FALSE)</f>
        <v>662</v>
      </c>
      <c r="O15" s="16">
        <f>VLOOKUP(14,'tableau entrée 1'!$A$2:$AZ$23,15,FALSE)</f>
        <v>1108</v>
      </c>
      <c r="P15" s="16">
        <f>VLOOKUP(14,'tableau entrée 1'!$A$2:$AZ$23,16,FALSE)</f>
        <v>1512</v>
      </c>
      <c r="Q15" s="16">
        <f>VLOOKUP(14,'tableau entrée 1'!$A$2:$AZ$23,17,FALSE)</f>
        <v>1352</v>
      </c>
      <c r="R15" s="16">
        <f>VLOOKUP(14,'tableau entrée 1'!$A$2:$AZ$23,18,FALSE)</f>
        <v>2012</v>
      </c>
      <c r="S15" s="16">
        <f>VLOOKUP(14,'tableau entrée 1'!$A$2:$AZ$23,19,FALSE)</f>
        <v>1464</v>
      </c>
      <c r="T15" s="16">
        <f>VLOOKUP(14,'tableau entrée 1'!$A$2:$AZ$23,20,FALSE)</f>
        <v>1828</v>
      </c>
      <c r="U15" s="16">
        <f>VLOOKUP(14,'tableau entrée 1'!$A$2:$AZ$23,21,FALSE)</f>
        <v>1684</v>
      </c>
      <c r="V15" s="16">
        <f>VLOOKUP(14,'tableau entrée 1'!$A$2:$AZ$23,22,FALSE)</f>
        <v>1282</v>
      </c>
      <c r="W15" s="16">
        <f>VLOOKUP(14,'tableau entrée 1'!$A$2:$AZ$23,23,FALSE)</f>
        <v>944</v>
      </c>
      <c r="X15" s="16">
        <f>VLOOKUP(14,'tableau entrée 1'!$A$2:$AZ$23,24,FALSE)</f>
        <v>961</v>
      </c>
      <c r="Y15" s="16">
        <f>VLOOKUP(14,'tableau entrée 1'!$A$2:$AZ$23,25,FALSE)</f>
        <v>835</v>
      </c>
      <c r="Z15" s="16">
        <f>VLOOKUP(14,'tableau entrée 1'!$A$2:$AZ$23,26,FALSE)</f>
        <v>573</v>
      </c>
      <c r="AA15" s="16">
        <f>VLOOKUP(14,'tableau entrée 1'!$A$2:$AZ$23,27,FALSE)</f>
        <v>863</v>
      </c>
      <c r="AB15" s="16">
        <f>VLOOKUP(14,'tableau entrée 1'!$A$2:$AZ$23,28,FALSE)</f>
        <v>1290</v>
      </c>
      <c r="AC15" s="16">
        <f>VLOOKUP(14,'tableau entrée 1'!$A$2:$AZ$23,29,FALSE)</f>
        <v>1160</v>
      </c>
      <c r="AD15" s="16">
        <f>VLOOKUP(14,'tableau entrée 1'!$A$2:$AZ$23,30,FALSE)</f>
        <v>1438</v>
      </c>
      <c r="AE15" s="16">
        <f>VLOOKUP(14,'tableau entrée 1'!$A$2:$AZ$23,31,FALSE)</f>
        <v>1821</v>
      </c>
      <c r="AF15" s="16">
        <f>VLOOKUP(14,'tableau entrée 1'!$A$2:$AZ$23,32,FALSE)</f>
        <v>1777</v>
      </c>
      <c r="AG15" s="16">
        <f>VLOOKUP(14,'tableau entrée 1'!$A$2:$AZ$23,33,FALSE)</f>
        <v>1117</v>
      </c>
      <c r="AH15" s="16">
        <f>VLOOKUP(14,'tableau entrée 1'!$A$2:$AZ$23,34,FALSE)</f>
        <v>907</v>
      </c>
      <c r="AI15" s="16">
        <f>VLOOKUP(14,'tableau entrée 1'!$A$2:$AZ$23,35,FALSE)</f>
        <v>1076</v>
      </c>
      <c r="AJ15" s="16">
        <f>VLOOKUP(14,'tableau entrée 1'!$A$2:$AZ$23,36,FALSE)</f>
        <v>1086</v>
      </c>
    </row>
    <row r="16" spans="1:36" ht="25.5">
      <c r="A16" s="14">
        <v>15</v>
      </c>
      <c r="B16" s="15" t="s">
        <v>40</v>
      </c>
      <c r="C16" s="16" t="s">
        <v>111</v>
      </c>
      <c r="D16" s="16">
        <f>VLOOKUP(15,'tableau entrée 1'!$A$2:$AZ$23,4,FALSE)</f>
        <v>5111</v>
      </c>
      <c r="E16" s="16">
        <f>VLOOKUP(15,'tableau entrée 1'!$A$2:$AZ$23,5,FALSE)</f>
        <v>4729</v>
      </c>
      <c r="F16" s="16">
        <f>VLOOKUP(15,'tableau entrée 1'!$A$2:$AZ$23,6,FALSE)</f>
        <v>6105</v>
      </c>
      <c r="G16" s="16">
        <f>VLOOKUP(15,'tableau entrée 1'!$A$2:$AZ$23,7,FALSE)</f>
        <v>6588</v>
      </c>
      <c r="H16" s="16">
        <f>VLOOKUP(15,'tableau entrée 1'!$A$2:$AZ$23,8,FALSE)</f>
        <v>9693</v>
      </c>
      <c r="I16" s="16">
        <f>VLOOKUP(15,'tableau entrée 1'!$A$2:$AZ$23,9,FALSE)</f>
        <v>7405</v>
      </c>
      <c r="J16" s="16">
        <f>VLOOKUP(15,'tableau entrée 1'!$A$2:$AZ$23,10,FALSE)</f>
        <v>5488</v>
      </c>
      <c r="K16" s="16">
        <f>VLOOKUP(15,'tableau entrée 1'!$A$2:$AZ$23,11,FALSE)</f>
        <v>4301</v>
      </c>
      <c r="L16" s="16">
        <f>VLOOKUP(15,'tableau entrée 1'!$A$2:$AZ$23,12,FALSE)</f>
        <v>3869</v>
      </c>
      <c r="M16" s="16">
        <f>VLOOKUP(15,'tableau entrée 1'!$A$2:$AZ$23,13,FALSE)</f>
        <v>2691</v>
      </c>
      <c r="N16" s="16">
        <f>VLOOKUP(15,'tableau entrée 1'!$A$2:$AZ$23,14,FALSE)</f>
        <v>2348</v>
      </c>
      <c r="O16" s="16">
        <f>VLOOKUP(15,'tableau entrée 1'!$A$2:$AZ$23,15,FALSE)</f>
        <v>4561</v>
      </c>
      <c r="P16" s="16">
        <f>VLOOKUP(15,'tableau entrée 1'!$A$2:$AZ$23,16,FALSE)</f>
        <v>6380</v>
      </c>
      <c r="Q16" s="16">
        <f>VLOOKUP(15,'tableau entrée 1'!$A$2:$AZ$23,17,FALSE)</f>
        <v>5058</v>
      </c>
      <c r="R16" s="16">
        <f>VLOOKUP(15,'tableau entrée 1'!$A$2:$AZ$23,18,FALSE)</f>
        <v>7046</v>
      </c>
      <c r="S16" s="16">
        <f>VLOOKUP(15,'tableau entrée 1'!$A$2:$AZ$23,19,FALSE)</f>
        <v>6155</v>
      </c>
      <c r="T16" s="16">
        <f>VLOOKUP(15,'tableau entrée 1'!$A$2:$AZ$23,20,FALSE)</f>
        <v>6522</v>
      </c>
      <c r="U16" s="16">
        <f>VLOOKUP(15,'tableau entrée 1'!$A$2:$AZ$23,21,FALSE)</f>
        <v>5932</v>
      </c>
      <c r="V16" s="16">
        <f>VLOOKUP(15,'tableau entrée 1'!$A$2:$AZ$23,22,FALSE)</f>
        <v>4791</v>
      </c>
      <c r="W16" s="16">
        <f>VLOOKUP(15,'tableau entrée 1'!$A$2:$AZ$23,23,FALSE)</f>
        <v>4111</v>
      </c>
      <c r="X16" s="16">
        <f>VLOOKUP(15,'tableau entrée 1'!$A$2:$AZ$23,24,FALSE)</f>
        <v>3732</v>
      </c>
      <c r="Y16" s="16">
        <f>VLOOKUP(15,'tableau entrée 1'!$A$2:$AZ$23,25,FALSE)</f>
        <v>2523</v>
      </c>
      <c r="Z16" s="16">
        <f>VLOOKUP(15,'tableau entrée 1'!$A$2:$AZ$23,26,FALSE)</f>
        <v>2433</v>
      </c>
      <c r="AA16" s="16">
        <f>VLOOKUP(15,'tableau entrée 1'!$A$2:$AZ$23,27,FALSE)</f>
        <v>3472</v>
      </c>
      <c r="AB16" s="16">
        <f>VLOOKUP(15,'tableau entrée 1'!$A$2:$AZ$23,28,FALSE)</f>
        <v>5953</v>
      </c>
      <c r="AC16" s="16">
        <f>VLOOKUP(15,'tableau entrée 1'!$A$2:$AZ$23,29,FALSE)</f>
        <v>5202</v>
      </c>
      <c r="AD16" s="16">
        <f>VLOOKUP(15,'tableau entrée 1'!$A$2:$AZ$23,30,FALSE)</f>
        <v>6031</v>
      </c>
      <c r="AE16" s="16">
        <f>VLOOKUP(15,'tableau entrée 1'!$A$2:$AZ$23,31,FALSE)</f>
        <v>8592</v>
      </c>
      <c r="AF16" s="16">
        <f>VLOOKUP(15,'tableau entrée 1'!$A$2:$AZ$23,32,FALSE)</f>
        <v>8073</v>
      </c>
      <c r="AG16" s="16">
        <f>VLOOKUP(15,'tableau entrée 1'!$A$2:$AZ$23,33,FALSE)</f>
        <v>4964</v>
      </c>
      <c r="AH16" s="16">
        <f>VLOOKUP(15,'tableau entrée 1'!$A$2:$AZ$23,34,FALSE)</f>
        <v>4167</v>
      </c>
      <c r="AI16" s="16">
        <f>VLOOKUP(15,'tableau entrée 1'!$A$2:$AZ$23,35,FALSE)</f>
        <v>4057</v>
      </c>
      <c r="AJ16" s="16">
        <f>VLOOKUP(15,'tableau entrée 1'!$A$2:$AZ$23,36,FALSE)</f>
        <v>3897</v>
      </c>
    </row>
    <row r="17" spans="1:36" ht="12.75">
      <c r="A17" s="14">
        <v>16</v>
      </c>
      <c r="B17" s="15" t="s">
        <v>41</v>
      </c>
      <c r="C17" s="16" t="s">
        <v>111</v>
      </c>
      <c r="D17" s="16">
        <f>VLOOKUP(16,'tableau entrée 1'!$A$2:$AZ$23,4,FALSE)</f>
        <v>3392</v>
      </c>
      <c r="E17" s="16">
        <f>VLOOKUP(16,'tableau entrée 1'!$A$2:$AZ$23,5,FALSE)</f>
        <v>3221</v>
      </c>
      <c r="F17" s="16">
        <f>VLOOKUP(16,'tableau entrée 1'!$A$2:$AZ$23,6,FALSE)</f>
        <v>3625</v>
      </c>
      <c r="G17" s="16">
        <f>VLOOKUP(16,'tableau entrée 1'!$A$2:$AZ$23,7,FALSE)</f>
        <v>3789</v>
      </c>
      <c r="H17" s="16">
        <f>VLOOKUP(16,'tableau entrée 1'!$A$2:$AZ$23,8,FALSE)</f>
        <v>4540</v>
      </c>
      <c r="I17" s="16">
        <f>VLOOKUP(16,'tableau entrée 1'!$A$2:$AZ$23,9,FALSE)</f>
        <v>3840</v>
      </c>
      <c r="J17" s="16">
        <f>VLOOKUP(16,'tableau entrée 1'!$A$2:$AZ$23,10,FALSE)</f>
        <v>3253</v>
      </c>
      <c r="K17" s="16">
        <f>VLOOKUP(16,'tableau entrée 1'!$A$2:$AZ$23,11,FALSE)</f>
        <v>2744</v>
      </c>
      <c r="L17" s="16">
        <f>VLOOKUP(16,'tableau entrée 1'!$A$2:$AZ$23,12,FALSE)</f>
        <v>2589</v>
      </c>
      <c r="M17" s="16">
        <f>VLOOKUP(16,'tableau entrée 1'!$A$2:$AZ$23,13,FALSE)</f>
        <v>1918</v>
      </c>
      <c r="N17" s="16">
        <f>VLOOKUP(16,'tableau entrée 1'!$A$2:$AZ$23,14,FALSE)</f>
        <v>1638</v>
      </c>
      <c r="O17" s="16">
        <f>VLOOKUP(16,'tableau entrée 1'!$A$2:$AZ$23,15,FALSE)</f>
        <v>2513</v>
      </c>
      <c r="P17" s="16">
        <f>VLOOKUP(16,'tableau entrée 1'!$A$2:$AZ$23,16,FALSE)</f>
        <v>2848</v>
      </c>
      <c r="Q17" s="16">
        <f>VLOOKUP(16,'tableau entrée 1'!$A$2:$AZ$23,17,FALSE)</f>
        <v>2360</v>
      </c>
      <c r="R17" s="16">
        <f>VLOOKUP(16,'tableau entrée 1'!$A$2:$AZ$23,18,FALSE)</f>
        <v>3022</v>
      </c>
      <c r="S17" s="16">
        <f>VLOOKUP(16,'tableau entrée 1'!$A$2:$AZ$23,19,FALSE)</f>
        <v>2804</v>
      </c>
      <c r="T17" s="16">
        <f>VLOOKUP(16,'tableau entrée 1'!$A$2:$AZ$23,20,FALSE)</f>
        <v>3049</v>
      </c>
      <c r="U17" s="16">
        <f>VLOOKUP(16,'tableau entrée 1'!$A$2:$AZ$23,21,FALSE)</f>
        <v>2909</v>
      </c>
      <c r="V17" s="16">
        <f>VLOOKUP(16,'tableau entrée 1'!$A$2:$AZ$23,22,FALSE)</f>
        <v>2216</v>
      </c>
      <c r="W17" s="16">
        <f>VLOOKUP(16,'tableau entrée 1'!$A$2:$AZ$23,23,FALSE)</f>
        <v>2038</v>
      </c>
      <c r="X17" s="16">
        <f>VLOOKUP(16,'tableau entrée 1'!$A$2:$AZ$23,24,FALSE)</f>
        <v>2012</v>
      </c>
      <c r="Y17" s="16">
        <f>VLOOKUP(16,'tableau entrée 1'!$A$2:$AZ$23,25,FALSE)</f>
        <v>1625</v>
      </c>
      <c r="Z17" s="16">
        <f>VLOOKUP(16,'tableau entrée 1'!$A$2:$AZ$23,26,FALSE)</f>
        <v>1501</v>
      </c>
      <c r="AA17" s="16">
        <f>VLOOKUP(16,'tableau entrée 1'!$A$2:$AZ$23,27,FALSE)</f>
        <v>1964</v>
      </c>
      <c r="AB17" s="16">
        <f>VLOOKUP(16,'tableau entrée 1'!$A$2:$AZ$23,28,FALSE)</f>
        <v>2823</v>
      </c>
      <c r="AC17" s="16">
        <f>VLOOKUP(16,'tableau entrée 1'!$A$2:$AZ$23,29,FALSE)</f>
        <v>2602</v>
      </c>
      <c r="AD17" s="16">
        <f>VLOOKUP(16,'tableau entrée 1'!$A$2:$AZ$23,30,FALSE)</f>
        <v>2799</v>
      </c>
      <c r="AE17" s="16">
        <f>VLOOKUP(16,'tableau entrée 1'!$A$2:$AZ$23,31,FALSE)</f>
        <v>3432</v>
      </c>
      <c r="AF17" s="16">
        <f>VLOOKUP(16,'tableau entrée 1'!$A$2:$AZ$23,32,FALSE)</f>
        <v>3139</v>
      </c>
      <c r="AG17" s="16">
        <f>VLOOKUP(16,'tableau entrée 1'!$A$2:$AZ$23,33,FALSE)</f>
        <v>2346</v>
      </c>
      <c r="AH17" s="16">
        <f>VLOOKUP(16,'tableau entrée 1'!$A$2:$AZ$23,34,FALSE)</f>
        <v>1958</v>
      </c>
      <c r="AI17" s="16">
        <f>VLOOKUP(16,'tableau entrée 1'!$A$2:$AZ$23,35,FALSE)</f>
        <v>1954</v>
      </c>
      <c r="AJ17" s="16">
        <f>VLOOKUP(16,'tableau entrée 1'!$A$2:$AZ$23,36,FALSE)</f>
        <v>2057</v>
      </c>
    </row>
    <row r="18" spans="1:36" ht="12.75">
      <c r="A18" s="14">
        <v>17</v>
      </c>
      <c r="B18" s="15" t="s">
        <v>42</v>
      </c>
      <c r="C18" s="16" t="s">
        <v>111</v>
      </c>
      <c r="D18" s="16">
        <f>VLOOKUP(17,'tableau entrée 1'!$A$2:$AZ$23,4,FALSE)</f>
        <v>2946</v>
      </c>
      <c r="E18" s="16">
        <f>VLOOKUP(17,'tableau entrée 1'!$A$2:$AZ$23,5,FALSE)</f>
        <v>2538</v>
      </c>
      <c r="F18" s="16">
        <f>VLOOKUP(17,'tableau entrée 1'!$A$2:$AZ$23,6,FALSE)</f>
        <v>3207</v>
      </c>
      <c r="G18" s="16">
        <f>VLOOKUP(17,'tableau entrée 1'!$A$2:$AZ$23,7,FALSE)</f>
        <v>3241</v>
      </c>
      <c r="H18" s="16">
        <f>VLOOKUP(17,'tableau entrée 1'!$A$2:$AZ$23,8,FALSE)</f>
        <v>3900</v>
      </c>
      <c r="I18" s="16">
        <f>VLOOKUP(17,'tableau entrée 1'!$A$2:$AZ$23,9,FALSE)</f>
        <v>3182</v>
      </c>
      <c r="J18" s="16">
        <f>VLOOKUP(17,'tableau entrée 1'!$A$2:$AZ$23,10,FALSE)</f>
        <v>2089</v>
      </c>
      <c r="K18" s="16">
        <f>VLOOKUP(17,'tableau entrée 1'!$A$2:$AZ$23,11,FALSE)</f>
        <v>1664</v>
      </c>
      <c r="L18" s="16">
        <f>VLOOKUP(17,'tableau entrée 1'!$A$2:$AZ$23,12,FALSE)</f>
        <v>1274</v>
      </c>
      <c r="M18" s="16">
        <f>VLOOKUP(17,'tableau entrée 1'!$A$2:$AZ$23,13,FALSE)</f>
        <v>764</v>
      </c>
      <c r="N18" s="16">
        <f>VLOOKUP(17,'tableau entrée 1'!$A$2:$AZ$23,14,FALSE)</f>
        <v>712</v>
      </c>
      <c r="O18" s="16">
        <f>VLOOKUP(17,'tableau entrée 1'!$A$2:$AZ$23,15,FALSE)</f>
        <v>1238</v>
      </c>
      <c r="P18" s="16">
        <f>VLOOKUP(17,'tableau entrée 1'!$A$2:$AZ$23,16,FALSE)</f>
        <v>1916</v>
      </c>
      <c r="Q18" s="16">
        <f>VLOOKUP(17,'tableau entrée 1'!$A$2:$AZ$23,17,FALSE)</f>
        <v>1546</v>
      </c>
      <c r="R18" s="16">
        <f>VLOOKUP(17,'tableau entrée 1'!$A$2:$AZ$23,18,FALSE)</f>
        <v>2186</v>
      </c>
      <c r="S18" s="16">
        <f>VLOOKUP(17,'tableau entrée 1'!$A$2:$AZ$23,19,FALSE)</f>
        <v>2089</v>
      </c>
      <c r="T18" s="16">
        <f>VLOOKUP(17,'tableau entrée 1'!$A$2:$AZ$23,20,FALSE)</f>
        <v>1979</v>
      </c>
      <c r="U18" s="16">
        <f>VLOOKUP(17,'tableau entrée 1'!$A$2:$AZ$23,21,FALSE)</f>
        <v>2060</v>
      </c>
      <c r="V18" s="16">
        <f>VLOOKUP(17,'tableau entrée 1'!$A$2:$AZ$23,22,FALSE)</f>
        <v>1371</v>
      </c>
      <c r="W18" s="16">
        <f>VLOOKUP(17,'tableau entrée 1'!$A$2:$AZ$23,23,FALSE)</f>
        <v>1235</v>
      </c>
      <c r="X18" s="16">
        <f>VLOOKUP(17,'tableau entrée 1'!$A$2:$AZ$23,24,FALSE)</f>
        <v>1295</v>
      </c>
      <c r="Y18" s="16">
        <f>VLOOKUP(17,'tableau entrée 1'!$A$2:$AZ$23,25,FALSE)</f>
        <v>753</v>
      </c>
      <c r="Z18" s="16">
        <f>VLOOKUP(17,'tableau entrée 1'!$A$2:$AZ$23,26,FALSE)</f>
        <v>813</v>
      </c>
      <c r="AA18" s="16">
        <f>VLOOKUP(17,'tableau entrée 1'!$A$2:$AZ$23,27,FALSE)</f>
        <v>1210</v>
      </c>
      <c r="AB18" s="16">
        <f>VLOOKUP(17,'tableau entrée 1'!$A$2:$AZ$23,28,FALSE)</f>
        <v>2326</v>
      </c>
      <c r="AC18" s="16">
        <f>VLOOKUP(17,'tableau entrée 1'!$A$2:$AZ$23,29,FALSE)</f>
        <v>2111</v>
      </c>
      <c r="AD18" s="16">
        <f>VLOOKUP(17,'tableau entrée 1'!$A$2:$AZ$23,30,FALSE)</f>
        <v>2253</v>
      </c>
      <c r="AE18" s="16">
        <f>VLOOKUP(17,'tableau entrée 1'!$A$2:$AZ$23,31,FALSE)</f>
        <v>3389</v>
      </c>
      <c r="AF18" s="16">
        <f>VLOOKUP(17,'tableau entrée 1'!$A$2:$AZ$23,32,FALSE)</f>
        <v>2720</v>
      </c>
      <c r="AG18" s="16">
        <f>VLOOKUP(17,'tableau entrée 1'!$A$2:$AZ$23,33,FALSE)</f>
        <v>1696</v>
      </c>
      <c r="AH18" s="16">
        <f>VLOOKUP(17,'tableau entrée 1'!$A$2:$AZ$23,34,FALSE)</f>
        <v>1143</v>
      </c>
      <c r="AI18" s="16">
        <f>VLOOKUP(17,'tableau entrée 1'!$A$2:$AZ$23,35,FALSE)</f>
        <v>675</v>
      </c>
      <c r="AJ18" s="16">
        <f>VLOOKUP(17,'tableau entrée 1'!$A$2:$AZ$23,36,FALSE)</f>
        <v>567</v>
      </c>
    </row>
    <row r="19" spans="1:36" ht="12.75">
      <c r="A19" s="14">
        <v>18</v>
      </c>
      <c r="B19" s="15" t="s">
        <v>43</v>
      </c>
      <c r="C19" s="16" t="s">
        <v>111</v>
      </c>
      <c r="D19" s="16">
        <f>VLOOKUP(18,'tableau entrée 1'!$A$2:$AZ$23,4,FALSE)</f>
        <v>1180</v>
      </c>
      <c r="E19" s="16">
        <f>VLOOKUP(18,'tableau entrée 1'!$A$2:$AZ$23,5,FALSE)</f>
        <v>1131</v>
      </c>
      <c r="F19" s="16">
        <f>VLOOKUP(18,'tableau entrée 1'!$A$2:$AZ$23,6,FALSE)</f>
        <v>1206</v>
      </c>
      <c r="G19" s="16">
        <f>VLOOKUP(18,'tableau entrée 1'!$A$2:$AZ$23,7,FALSE)</f>
        <v>1132</v>
      </c>
      <c r="H19" s="16">
        <f>VLOOKUP(18,'tableau entrée 1'!$A$2:$AZ$23,8,FALSE)</f>
        <v>1084</v>
      </c>
      <c r="I19" s="16">
        <f>VLOOKUP(18,'tableau entrée 1'!$A$2:$AZ$23,9,FALSE)</f>
        <v>1317</v>
      </c>
      <c r="J19" s="16">
        <f>VLOOKUP(18,'tableau entrée 1'!$A$2:$AZ$23,10,FALSE)</f>
        <v>1123</v>
      </c>
      <c r="K19" s="16">
        <f>VLOOKUP(18,'tableau entrée 1'!$A$2:$AZ$23,11,FALSE)</f>
        <v>1120</v>
      </c>
      <c r="L19" s="16">
        <f>VLOOKUP(18,'tableau entrée 1'!$A$2:$AZ$23,12,FALSE)</f>
        <v>1024</v>
      </c>
      <c r="M19" s="16">
        <f>VLOOKUP(18,'tableau entrée 1'!$A$2:$AZ$23,13,FALSE)</f>
        <v>949</v>
      </c>
      <c r="N19" s="16">
        <f>VLOOKUP(18,'tableau entrée 1'!$A$2:$AZ$23,14,FALSE)</f>
        <v>948</v>
      </c>
      <c r="O19" s="16">
        <f>VLOOKUP(18,'tableau entrée 1'!$A$2:$AZ$23,15,FALSE)</f>
        <v>1196</v>
      </c>
      <c r="P19" s="16">
        <f>VLOOKUP(18,'tableau entrée 1'!$A$2:$AZ$23,16,FALSE)</f>
        <v>1103</v>
      </c>
      <c r="Q19" s="16">
        <f>VLOOKUP(18,'tableau entrée 1'!$A$2:$AZ$23,17,FALSE)</f>
        <v>1209</v>
      </c>
      <c r="R19" s="16">
        <f>VLOOKUP(18,'tableau entrée 1'!$A$2:$AZ$23,18,FALSE)</f>
        <v>1173</v>
      </c>
      <c r="S19" s="16">
        <f>VLOOKUP(18,'tableau entrée 1'!$A$2:$AZ$23,19,FALSE)</f>
        <v>1145</v>
      </c>
      <c r="T19" s="16">
        <f>VLOOKUP(18,'tableau entrée 1'!$A$2:$AZ$23,20,FALSE)</f>
        <v>1081</v>
      </c>
      <c r="U19" s="16">
        <f>VLOOKUP(18,'tableau entrée 1'!$A$2:$AZ$23,21,FALSE)</f>
        <v>1406</v>
      </c>
      <c r="V19" s="16">
        <f>VLOOKUP(18,'tableau entrée 1'!$A$2:$AZ$23,22,FALSE)</f>
        <v>1067</v>
      </c>
      <c r="W19" s="16">
        <f>VLOOKUP(18,'tableau entrée 1'!$A$2:$AZ$23,23,FALSE)</f>
        <v>1114</v>
      </c>
      <c r="X19" s="16">
        <f>VLOOKUP(18,'tableau entrée 1'!$A$2:$AZ$23,24,FALSE)</f>
        <v>1108</v>
      </c>
      <c r="Y19" s="16">
        <f>VLOOKUP(18,'tableau entrée 1'!$A$2:$AZ$23,25,FALSE)</f>
        <v>960</v>
      </c>
      <c r="Z19" s="16">
        <f>VLOOKUP(18,'tableau entrée 1'!$A$2:$AZ$23,26,FALSE)</f>
        <v>1053</v>
      </c>
      <c r="AA19" s="16">
        <f>VLOOKUP(18,'tableau entrée 1'!$A$2:$AZ$23,27,FALSE)</f>
        <v>1216</v>
      </c>
      <c r="AB19" s="16">
        <f>VLOOKUP(18,'tableau entrée 1'!$A$2:$AZ$23,28,FALSE)</f>
        <v>1377</v>
      </c>
      <c r="AC19" s="16">
        <f>VLOOKUP(18,'tableau entrée 1'!$A$2:$AZ$23,29,FALSE)</f>
        <v>1270</v>
      </c>
      <c r="AD19" s="16">
        <f>VLOOKUP(18,'tableau entrée 1'!$A$2:$AZ$23,30,FALSE)</f>
        <v>1085</v>
      </c>
      <c r="AE19" s="16">
        <f>VLOOKUP(18,'tableau entrée 1'!$A$2:$AZ$23,31,FALSE)</f>
        <v>1478</v>
      </c>
      <c r="AF19" s="16">
        <f>VLOOKUP(18,'tableau entrée 1'!$A$2:$AZ$23,32,FALSE)</f>
        <v>1241</v>
      </c>
      <c r="AG19" s="16">
        <f>VLOOKUP(18,'tableau entrée 1'!$A$2:$AZ$23,33,FALSE)</f>
        <v>1300</v>
      </c>
      <c r="AH19" s="16">
        <f>VLOOKUP(18,'tableau entrée 1'!$A$2:$AZ$23,34,FALSE)</f>
        <v>1082</v>
      </c>
      <c r="AI19" s="16">
        <f>VLOOKUP(18,'tableau entrée 1'!$A$2:$AZ$23,35,FALSE)</f>
        <v>1284</v>
      </c>
      <c r="AJ19" s="16">
        <f>VLOOKUP(18,'tableau entrée 1'!$A$2:$AZ$23,36,FALSE)</f>
        <v>1223</v>
      </c>
    </row>
    <row r="20" spans="1:36" ht="12.75">
      <c r="A20" s="14">
        <v>19</v>
      </c>
      <c r="B20" s="15" t="s">
        <v>44</v>
      </c>
      <c r="C20" s="16" t="s">
        <v>111</v>
      </c>
      <c r="D20" s="16">
        <f>VLOOKUP(19,'tableau entrée 1'!$A$2:$AZ$23,4,FALSE)</f>
        <v>912</v>
      </c>
      <c r="E20" s="16">
        <f>VLOOKUP(19,'tableau entrée 1'!$A$2:$AZ$23,5,FALSE)</f>
        <v>935</v>
      </c>
      <c r="F20" s="16">
        <f>VLOOKUP(19,'tableau entrée 1'!$A$2:$AZ$23,6,FALSE)</f>
        <v>1075</v>
      </c>
      <c r="G20" s="16">
        <f>VLOOKUP(19,'tableau entrée 1'!$A$2:$AZ$23,7,FALSE)</f>
        <v>1251</v>
      </c>
      <c r="H20" s="16">
        <f>VLOOKUP(19,'tableau entrée 1'!$A$2:$AZ$23,8,FALSE)</f>
        <v>1455</v>
      </c>
      <c r="I20" s="16">
        <f>VLOOKUP(19,'tableau entrée 1'!$A$2:$AZ$23,9,FALSE)</f>
        <v>1452</v>
      </c>
      <c r="J20" s="16">
        <f>VLOOKUP(19,'tableau entrée 1'!$A$2:$AZ$23,10,FALSE)</f>
        <v>1012</v>
      </c>
      <c r="K20" s="16">
        <f>VLOOKUP(19,'tableau entrée 1'!$A$2:$AZ$23,11,FALSE)</f>
        <v>881</v>
      </c>
      <c r="L20" s="16">
        <f>VLOOKUP(19,'tableau entrée 1'!$A$2:$AZ$23,12,FALSE)</f>
        <v>642</v>
      </c>
      <c r="M20" s="16">
        <f>VLOOKUP(19,'tableau entrée 1'!$A$2:$AZ$23,13,FALSE)</f>
        <v>470</v>
      </c>
      <c r="N20" s="16">
        <f>VLOOKUP(19,'tableau entrée 1'!$A$2:$AZ$23,14,FALSE)</f>
        <v>428</v>
      </c>
      <c r="O20" s="16">
        <f>VLOOKUP(19,'tableau entrée 1'!$A$2:$AZ$23,15,FALSE)</f>
        <v>677</v>
      </c>
      <c r="P20" s="16">
        <f>VLOOKUP(19,'tableau entrée 1'!$A$2:$AZ$23,16,FALSE)</f>
        <v>871</v>
      </c>
      <c r="Q20" s="16">
        <f>VLOOKUP(19,'tableau entrée 1'!$A$2:$AZ$23,17,FALSE)</f>
        <v>808</v>
      </c>
      <c r="R20" s="16">
        <f>VLOOKUP(19,'tableau entrée 1'!$A$2:$AZ$23,18,FALSE)</f>
        <v>1097</v>
      </c>
      <c r="S20" s="16">
        <f>VLOOKUP(19,'tableau entrée 1'!$A$2:$AZ$23,19,FALSE)</f>
        <v>1260</v>
      </c>
      <c r="T20" s="16">
        <f>VLOOKUP(19,'tableau entrée 1'!$A$2:$AZ$23,20,FALSE)</f>
        <v>1126</v>
      </c>
      <c r="U20" s="16">
        <f>VLOOKUP(19,'tableau entrée 1'!$A$2:$AZ$23,21,FALSE)</f>
        <v>1270</v>
      </c>
      <c r="V20" s="16">
        <f>VLOOKUP(19,'tableau entrée 1'!$A$2:$AZ$23,22,FALSE)</f>
        <v>850</v>
      </c>
      <c r="W20" s="16">
        <f>VLOOKUP(19,'tableau entrée 1'!$A$2:$AZ$23,23,FALSE)</f>
        <v>790</v>
      </c>
      <c r="X20" s="16">
        <f>VLOOKUP(19,'tableau entrée 1'!$A$2:$AZ$23,24,FALSE)</f>
        <v>761</v>
      </c>
      <c r="Y20" s="16">
        <f>VLOOKUP(19,'tableau entrée 1'!$A$2:$AZ$23,25,FALSE)</f>
        <v>515</v>
      </c>
      <c r="Z20" s="16">
        <f>VLOOKUP(19,'tableau entrée 1'!$A$2:$AZ$23,26,FALSE)</f>
        <v>553</v>
      </c>
      <c r="AA20" s="16">
        <f>VLOOKUP(19,'tableau entrée 1'!$A$2:$AZ$23,27,FALSE)</f>
        <v>778</v>
      </c>
      <c r="AB20" s="16">
        <f>VLOOKUP(19,'tableau entrée 1'!$A$2:$AZ$23,28,FALSE)</f>
        <v>1221</v>
      </c>
      <c r="AC20" s="16">
        <f>VLOOKUP(19,'tableau entrée 1'!$A$2:$AZ$23,29,FALSE)</f>
        <v>1113</v>
      </c>
      <c r="AD20" s="16">
        <f>VLOOKUP(19,'tableau entrée 1'!$A$2:$AZ$23,30,FALSE)</f>
        <v>1205</v>
      </c>
      <c r="AE20" s="16">
        <f>VLOOKUP(19,'tableau entrée 1'!$A$2:$AZ$23,31,FALSE)</f>
        <v>2001</v>
      </c>
      <c r="AF20" s="16">
        <f>VLOOKUP(19,'tableau entrée 1'!$A$2:$AZ$23,32,FALSE)</f>
        <v>1731</v>
      </c>
      <c r="AG20" s="16">
        <f>VLOOKUP(19,'tableau entrée 1'!$A$2:$AZ$23,33,FALSE)</f>
        <v>1375</v>
      </c>
      <c r="AH20" s="16">
        <f>VLOOKUP(19,'tableau entrée 1'!$A$2:$AZ$23,34,FALSE)</f>
        <v>1041</v>
      </c>
      <c r="AI20" s="16">
        <f>VLOOKUP(19,'tableau entrée 1'!$A$2:$AZ$23,35,FALSE)</f>
        <v>973</v>
      </c>
      <c r="AJ20" s="16">
        <f>VLOOKUP(19,'tableau entrée 1'!$A$2:$AZ$23,36,FALSE)</f>
        <v>867</v>
      </c>
    </row>
    <row r="21" spans="1:36" ht="12.75">
      <c r="A21" s="14">
        <v>20</v>
      </c>
      <c r="B21" s="15" t="s">
        <v>45</v>
      </c>
      <c r="C21" s="16" t="s">
        <v>111</v>
      </c>
      <c r="D21" s="16">
        <f>VLOOKUP(20,'tableau entrée 1'!$A$2:$AZ$23,4,FALSE)</f>
        <v>1110</v>
      </c>
      <c r="E21" s="16">
        <f>VLOOKUP(20,'tableau entrée 1'!$A$2:$AZ$23,5,FALSE)</f>
        <v>1156</v>
      </c>
      <c r="F21" s="16">
        <f>VLOOKUP(20,'tableau entrée 1'!$A$2:$AZ$23,6,FALSE)</f>
        <v>1385</v>
      </c>
      <c r="G21" s="16">
        <f>VLOOKUP(20,'tableau entrée 1'!$A$2:$AZ$23,7,FALSE)</f>
        <v>1364</v>
      </c>
      <c r="H21" s="16">
        <f>VLOOKUP(20,'tableau entrée 1'!$A$2:$AZ$23,8,FALSE)</f>
        <v>1770</v>
      </c>
      <c r="I21" s="16">
        <f>VLOOKUP(20,'tableau entrée 1'!$A$2:$AZ$23,9,FALSE)</f>
        <v>1714</v>
      </c>
      <c r="J21" s="16">
        <f>VLOOKUP(20,'tableau entrée 1'!$A$2:$AZ$23,10,FALSE)</f>
        <v>1224</v>
      </c>
      <c r="K21" s="16">
        <f>VLOOKUP(20,'tableau entrée 1'!$A$2:$AZ$23,11,FALSE)</f>
        <v>892</v>
      </c>
      <c r="L21" s="16">
        <f>VLOOKUP(20,'tableau entrée 1'!$A$2:$AZ$23,12,FALSE)</f>
        <v>655</v>
      </c>
      <c r="M21" s="16">
        <f>VLOOKUP(20,'tableau entrée 1'!$A$2:$AZ$23,13,FALSE)</f>
        <v>371</v>
      </c>
      <c r="N21" s="16">
        <f>VLOOKUP(20,'tableau entrée 1'!$A$2:$AZ$23,14,FALSE)</f>
        <v>359</v>
      </c>
      <c r="O21" s="16">
        <f>VLOOKUP(20,'tableau entrée 1'!$A$2:$AZ$23,15,FALSE)</f>
        <v>689</v>
      </c>
      <c r="P21" s="16">
        <f>VLOOKUP(20,'tableau entrée 1'!$A$2:$AZ$23,16,FALSE)</f>
        <v>913</v>
      </c>
      <c r="Q21" s="16">
        <f>VLOOKUP(20,'tableau entrée 1'!$A$2:$AZ$23,17,FALSE)</f>
        <v>905</v>
      </c>
      <c r="R21" s="16">
        <f>VLOOKUP(20,'tableau entrée 1'!$A$2:$AZ$23,18,FALSE)</f>
        <v>1169</v>
      </c>
      <c r="S21" s="16">
        <f>VLOOKUP(20,'tableau entrée 1'!$A$2:$AZ$23,19,FALSE)</f>
        <v>1143</v>
      </c>
      <c r="T21" s="16">
        <f>VLOOKUP(20,'tableau entrée 1'!$A$2:$AZ$23,20,FALSE)</f>
        <v>1185</v>
      </c>
      <c r="U21" s="16">
        <f>VLOOKUP(20,'tableau entrée 1'!$A$2:$AZ$23,21,FALSE)</f>
        <v>1266</v>
      </c>
      <c r="V21" s="16">
        <f>VLOOKUP(20,'tableau entrée 1'!$A$2:$AZ$23,22,FALSE)</f>
        <v>810</v>
      </c>
      <c r="W21" s="16">
        <f>VLOOKUP(20,'tableau entrée 1'!$A$2:$AZ$23,23,FALSE)</f>
        <v>751</v>
      </c>
      <c r="X21" s="16">
        <f>VLOOKUP(20,'tableau entrée 1'!$A$2:$AZ$23,24,FALSE)</f>
        <v>640</v>
      </c>
      <c r="Y21" s="16">
        <f>VLOOKUP(20,'tableau entrée 1'!$A$2:$AZ$23,25,FALSE)</f>
        <v>350</v>
      </c>
      <c r="Z21" s="16">
        <f>VLOOKUP(20,'tableau entrée 1'!$A$2:$AZ$23,26,FALSE)</f>
        <v>346</v>
      </c>
      <c r="AA21" s="16">
        <f>VLOOKUP(20,'tableau entrée 1'!$A$2:$AZ$23,27,FALSE)</f>
        <v>690</v>
      </c>
      <c r="AB21" s="16">
        <f>VLOOKUP(20,'tableau entrée 1'!$A$2:$AZ$23,28,FALSE)</f>
        <v>1124</v>
      </c>
      <c r="AC21" s="16">
        <f>VLOOKUP(20,'tableau entrée 1'!$A$2:$AZ$23,29,FALSE)</f>
        <v>987</v>
      </c>
      <c r="AD21" s="16">
        <f>VLOOKUP(20,'tableau entrée 1'!$A$2:$AZ$23,30,FALSE)</f>
        <v>1155</v>
      </c>
      <c r="AE21" s="16">
        <f>VLOOKUP(20,'tableau entrée 1'!$A$2:$AZ$23,31,FALSE)</f>
        <v>1751</v>
      </c>
      <c r="AF21" s="16">
        <f>VLOOKUP(20,'tableau entrée 1'!$A$2:$AZ$23,32,FALSE)</f>
        <v>1663</v>
      </c>
      <c r="AG21" s="16">
        <f>VLOOKUP(20,'tableau entrée 1'!$A$2:$AZ$23,33,FALSE)</f>
        <v>1245</v>
      </c>
      <c r="AH21" s="16">
        <f>VLOOKUP(20,'tableau entrée 1'!$A$2:$AZ$23,34,FALSE)</f>
        <v>966</v>
      </c>
      <c r="AI21" s="16">
        <f>VLOOKUP(20,'tableau entrée 1'!$A$2:$AZ$23,35,FALSE)</f>
        <v>817</v>
      </c>
      <c r="AJ21" s="16">
        <f>VLOOKUP(20,'tableau entrée 1'!$A$2:$AZ$23,36,FALSE)</f>
        <v>618</v>
      </c>
    </row>
    <row r="22" spans="1:36" ht="12.75">
      <c r="A22" s="14">
        <v>21</v>
      </c>
      <c r="B22" s="15" t="s">
        <v>46</v>
      </c>
      <c r="C22" s="16" t="s">
        <v>111</v>
      </c>
      <c r="D22" s="16">
        <f>VLOOKUP(21,'tableau entrée 1'!$A$2:$AZ$23,4,FALSE)</f>
        <v>2801</v>
      </c>
      <c r="E22" s="16">
        <f>VLOOKUP(21,'tableau entrée 1'!$A$2:$AZ$23,5,FALSE)</f>
        <v>2637</v>
      </c>
      <c r="F22" s="16">
        <f>VLOOKUP(21,'tableau entrée 1'!$A$2:$AZ$23,6,FALSE)</f>
        <v>2676</v>
      </c>
      <c r="G22" s="16">
        <f>VLOOKUP(21,'tableau entrée 1'!$A$2:$AZ$23,7,FALSE)</f>
        <v>2946</v>
      </c>
      <c r="H22" s="16">
        <f>VLOOKUP(21,'tableau entrée 1'!$A$2:$AZ$23,8,FALSE)</f>
        <v>3094</v>
      </c>
      <c r="I22" s="16">
        <f>VLOOKUP(21,'tableau entrée 1'!$A$2:$AZ$23,9,FALSE)</f>
        <v>3157</v>
      </c>
      <c r="J22" s="16">
        <f>VLOOKUP(21,'tableau entrée 1'!$A$2:$AZ$23,10,FALSE)</f>
        <v>2624</v>
      </c>
      <c r="K22" s="16">
        <f>VLOOKUP(21,'tableau entrée 1'!$A$2:$AZ$23,11,FALSE)</f>
        <v>2511</v>
      </c>
      <c r="L22" s="16">
        <f>VLOOKUP(21,'tableau entrée 1'!$A$2:$AZ$23,12,FALSE)</f>
        <v>2575</v>
      </c>
      <c r="M22" s="16">
        <f>VLOOKUP(21,'tableau entrée 1'!$A$2:$AZ$23,13,FALSE)</f>
        <v>2264</v>
      </c>
      <c r="N22" s="16">
        <f>VLOOKUP(21,'tableau entrée 1'!$A$2:$AZ$23,14,FALSE)</f>
        <v>2237</v>
      </c>
      <c r="O22" s="16">
        <f>VLOOKUP(21,'tableau entrée 1'!$A$2:$AZ$23,15,FALSE)</f>
        <v>2518</v>
      </c>
      <c r="P22" s="16">
        <f>VLOOKUP(21,'tableau entrée 1'!$A$2:$AZ$23,16,FALSE)</f>
        <v>2564</v>
      </c>
      <c r="Q22" s="16">
        <f>VLOOKUP(21,'tableau entrée 1'!$A$2:$AZ$23,17,FALSE)</f>
        <v>2367</v>
      </c>
      <c r="R22" s="16">
        <f>VLOOKUP(21,'tableau entrée 1'!$A$2:$AZ$23,18,FALSE)</f>
        <v>2772</v>
      </c>
      <c r="S22" s="16">
        <f>VLOOKUP(21,'tableau entrée 1'!$A$2:$AZ$23,19,FALSE)</f>
        <v>2710</v>
      </c>
      <c r="T22" s="16">
        <f>VLOOKUP(21,'tableau entrée 1'!$A$2:$AZ$23,20,FALSE)</f>
        <v>2735</v>
      </c>
      <c r="U22" s="16">
        <f>VLOOKUP(21,'tableau entrée 1'!$A$2:$AZ$23,21,FALSE)</f>
        <v>2936</v>
      </c>
      <c r="V22" s="16">
        <f>VLOOKUP(21,'tableau entrée 1'!$A$2:$AZ$23,22,FALSE)</f>
        <v>2245</v>
      </c>
      <c r="W22" s="16">
        <f>VLOOKUP(21,'tableau entrée 1'!$A$2:$AZ$23,23,FALSE)</f>
        <v>2239</v>
      </c>
      <c r="X22" s="16">
        <f>VLOOKUP(21,'tableau entrée 1'!$A$2:$AZ$23,24,FALSE)</f>
        <v>2305</v>
      </c>
      <c r="Y22" s="16">
        <f>VLOOKUP(21,'tableau entrée 1'!$A$2:$AZ$23,25,FALSE)</f>
        <v>2074</v>
      </c>
      <c r="Z22" s="16">
        <f>VLOOKUP(21,'tableau entrée 1'!$A$2:$AZ$23,26,FALSE)</f>
        <v>2250</v>
      </c>
      <c r="AA22" s="16">
        <f>VLOOKUP(21,'tableau entrée 1'!$A$2:$AZ$23,27,FALSE)</f>
        <v>2301</v>
      </c>
      <c r="AB22" s="16">
        <f>VLOOKUP(21,'tableau entrée 1'!$A$2:$AZ$23,28,FALSE)</f>
        <v>2850</v>
      </c>
      <c r="AC22" s="16">
        <f>VLOOKUP(21,'tableau entrée 1'!$A$2:$AZ$23,29,FALSE)</f>
        <v>2579</v>
      </c>
      <c r="AD22" s="16">
        <f>VLOOKUP(21,'tableau entrée 1'!$A$2:$AZ$23,30,FALSE)</f>
        <v>2476</v>
      </c>
      <c r="AE22" s="16">
        <f>VLOOKUP(21,'tableau entrée 1'!$A$2:$AZ$23,31,FALSE)</f>
        <v>3480</v>
      </c>
      <c r="AF22" s="16">
        <f>VLOOKUP(21,'tableau entrée 1'!$A$2:$AZ$23,32,FALSE)</f>
        <v>3106</v>
      </c>
      <c r="AG22" s="16">
        <f>VLOOKUP(21,'tableau entrée 1'!$A$2:$AZ$23,33,FALSE)</f>
        <v>2676</v>
      </c>
      <c r="AH22" s="16">
        <f>VLOOKUP(21,'tableau entrée 1'!$A$2:$AZ$23,34,FALSE)</f>
        <v>2232</v>
      </c>
      <c r="AI22" s="16">
        <f>VLOOKUP(21,'tableau entrée 1'!$A$2:$AZ$23,35,FALSE)</f>
        <v>2630</v>
      </c>
      <c r="AJ22" s="16">
        <f>VLOOKUP(21,'tableau entrée 1'!$A$2:$AZ$23,36,FALSE)</f>
        <v>2410</v>
      </c>
    </row>
    <row r="23" spans="1:36" ht="12.75">
      <c r="A23" s="14">
        <v>22</v>
      </c>
      <c r="B23" s="15" t="s">
        <v>47</v>
      </c>
      <c r="C23" s="16" t="s">
        <v>111</v>
      </c>
      <c r="D23" s="16">
        <f>VLOOKUP(22,'tableau entrée 1'!$A$2:$AZ$23,4,FALSE)</f>
        <v>1167</v>
      </c>
      <c r="E23" s="16">
        <f>VLOOKUP(22,'tableau entrée 1'!$A$2:$AZ$23,5,FALSE)</f>
        <v>1077</v>
      </c>
      <c r="F23" s="16">
        <f>VLOOKUP(22,'tableau entrée 1'!$A$2:$AZ$23,6,FALSE)</f>
        <v>993</v>
      </c>
      <c r="G23" s="16">
        <f>VLOOKUP(22,'tableau entrée 1'!$A$2:$AZ$23,7,FALSE)</f>
        <v>971</v>
      </c>
      <c r="H23" s="16">
        <f>VLOOKUP(22,'tableau entrée 1'!$A$2:$AZ$23,8,FALSE)</f>
        <v>842</v>
      </c>
      <c r="I23" s="16">
        <f>VLOOKUP(22,'tableau entrée 1'!$A$2:$AZ$23,9,FALSE)</f>
        <v>1008</v>
      </c>
      <c r="J23" s="16">
        <f>VLOOKUP(22,'tableau entrée 1'!$A$2:$AZ$23,10,FALSE)</f>
        <v>993</v>
      </c>
      <c r="K23" s="16">
        <f>VLOOKUP(22,'tableau entrée 1'!$A$2:$AZ$23,11,FALSE)</f>
        <v>1027</v>
      </c>
      <c r="L23" s="16">
        <f>VLOOKUP(22,'tableau entrée 1'!$A$2:$AZ$23,12,FALSE)</f>
        <v>1274</v>
      </c>
      <c r="M23" s="16">
        <f>VLOOKUP(22,'tableau entrée 1'!$A$2:$AZ$23,13,FALSE)</f>
        <v>1148</v>
      </c>
      <c r="N23" s="16">
        <f>VLOOKUP(22,'tableau entrée 1'!$A$2:$AZ$23,14,FALSE)</f>
        <v>1098</v>
      </c>
      <c r="O23" s="16">
        <f>VLOOKUP(22,'tableau entrée 1'!$A$2:$AZ$23,15,FALSE)</f>
        <v>1311</v>
      </c>
      <c r="P23" s="16">
        <f>VLOOKUP(22,'tableau entrée 1'!$A$2:$AZ$23,16,FALSE)</f>
        <v>980</v>
      </c>
      <c r="Q23" s="16">
        <f>VLOOKUP(22,'tableau entrée 1'!$A$2:$AZ$23,17,FALSE)</f>
        <v>990</v>
      </c>
      <c r="R23" s="16">
        <f>VLOOKUP(22,'tableau entrée 1'!$A$2:$AZ$23,18,FALSE)</f>
        <v>872</v>
      </c>
      <c r="S23" s="16">
        <f>VLOOKUP(22,'tableau entrée 1'!$A$2:$AZ$23,19,FALSE)</f>
        <v>811</v>
      </c>
      <c r="T23" s="16">
        <f>VLOOKUP(22,'tableau entrée 1'!$A$2:$AZ$23,20,FALSE)</f>
        <v>784</v>
      </c>
      <c r="U23" s="16">
        <f>VLOOKUP(22,'tableau entrée 1'!$A$2:$AZ$23,21,FALSE)</f>
        <v>1113</v>
      </c>
      <c r="V23" s="16">
        <f>VLOOKUP(22,'tableau entrée 1'!$A$2:$AZ$23,22,FALSE)</f>
        <v>804</v>
      </c>
      <c r="W23" s="16">
        <f>VLOOKUP(22,'tableau entrée 1'!$A$2:$AZ$23,23,FALSE)</f>
        <v>902</v>
      </c>
      <c r="X23" s="16">
        <f>VLOOKUP(22,'tableau entrée 1'!$A$2:$AZ$23,24,FALSE)</f>
        <v>1050</v>
      </c>
      <c r="Y23" s="16">
        <f>VLOOKUP(22,'tableau entrée 1'!$A$2:$AZ$23,25,FALSE)</f>
        <v>1154</v>
      </c>
      <c r="Z23" s="16">
        <f>VLOOKUP(22,'tableau entrée 1'!$A$2:$AZ$23,26,FALSE)</f>
        <v>1183</v>
      </c>
      <c r="AA23" s="16">
        <f>VLOOKUP(22,'tableau entrée 1'!$A$2:$AZ$23,27,FALSE)</f>
        <v>1166</v>
      </c>
      <c r="AB23" s="16">
        <f>VLOOKUP(22,'tableau entrée 1'!$A$2:$AZ$23,28,FALSE)</f>
        <v>1155</v>
      </c>
      <c r="AC23" s="16">
        <f>VLOOKUP(22,'tableau entrée 1'!$A$2:$AZ$23,29,FALSE)</f>
        <v>974</v>
      </c>
      <c r="AD23" s="16">
        <f>VLOOKUP(22,'tableau entrée 1'!$A$2:$AZ$23,30,FALSE)</f>
        <v>836</v>
      </c>
      <c r="AE23" s="16">
        <f>VLOOKUP(22,'tableau entrée 1'!$A$2:$AZ$23,31,FALSE)</f>
        <v>875</v>
      </c>
      <c r="AF23" s="16">
        <f>VLOOKUP(22,'tableau entrée 1'!$A$2:$AZ$23,32,FALSE)</f>
        <v>751</v>
      </c>
      <c r="AG23" s="16">
        <f>VLOOKUP(22,'tableau entrée 1'!$A$2:$AZ$23,33,FALSE)</f>
        <v>911</v>
      </c>
      <c r="AH23" s="16">
        <f>VLOOKUP(22,'tableau entrée 1'!$A$2:$AZ$23,34,FALSE)</f>
        <v>756</v>
      </c>
      <c r="AI23" s="16">
        <f>VLOOKUP(22,'tableau entrée 1'!$A$2:$AZ$23,35,FALSE)</f>
        <v>976</v>
      </c>
      <c r="AJ23" s="16">
        <f>VLOOKUP(22,'tableau entrée 1'!$A$2:$AZ$23,36,FALSE)</f>
        <v>938</v>
      </c>
    </row>
    <row r="24" spans="3:34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3:34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2:36" ht="12.75">
      <c r="B26" s="17" t="s">
        <v>49</v>
      </c>
      <c r="C26" s="12" t="s">
        <v>50</v>
      </c>
      <c r="D26" s="12" t="s">
        <v>51</v>
      </c>
      <c r="E26" s="12" t="s">
        <v>52</v>
      </c>
      <c r="F26" s="12" t="s">
        <v>53</v>
      </c>
      <c r="G26" s="12" t="s">
        <v>54</v>
      </c>
      <c r="H26" s="12" t="s">
        <v>55</v>
      </c>
      <c r="I26" s="12" t="s">
        <v>56</v>
      </c>
      <c r="J26" s="12" t="s">
        <v>57</v>
      </c>
      <c r="K26" s="12" t="s">
        <v>58</v>
      </c>
      <c r="L26" s="12" t="s">
        <v>59</v>
      </c>
      <c r="M26" s="12" t="s">
        <v>60</v>
      </c>
      <c r="N26" s="12" t="s">
        <v>61</v>
      </c>
      <c r="O26" s="12" t="s">
        <v>62</v>
      </c>
      <c r="P26" s="12" t="s">
        <v>63</v>
      </c>
      <c r="Q26" s="13">
        <v>38657</v>
      </c>
      <c r="R26" s="13">
        <v>38687</v>
      </c>
      <c r="S26" s="13">
        <v>38718</v>
      </c>
      <c r="T26" s="13">
        <v>38749</v>
      </c>
      <c r="U26" s="13">
        <v>38777</v>
      </c>
      <c r="V26" s="13">
        <v>38808</v>
      </c>
      <c r="W26" s="13">
        <v>38838</v>
      </c>
      <c r="X26" s="13">
        <v>38869</v>
      </c>
      <c r="Y26" s="13">
        <v>38899</v>
      </c>
      <c r="Z26" s="13">
        <v>38930</v>
      </c>
      <c r="AA26" s="13">
        <v>38961</v>
      </c>
      <c r="AB26" s="13">
        <v>38991</v>
      </c>
      <c r="AC26" s="13">
        <v>39022</v>
      </c>
      <c r="AD26" s="13">
        <v>39052</v>
      </c>
      <c r="AE26" s="13">
        <v>39083</v>
      </c>
      <c r="AF26" s="13">
        <v>39114</v>
      </c>
      <c r="AG26" s="13">
        <v>39142</v>
      </c>
      <c r="AH26" s="13">
        <v>39173</v>
      </c>
      <c r="AI26" s="13">
        <v>39203</v>
      </c>
      <c r="AJ26" s="13">
        <v>39234</v>
      </c>
    </row>
    <row r="27" spans="2:36" ht="12.75">
      <c r="B27" s="18" t="s">
        <v>26</v>
      </c>
      <c r="C27" s="19" t="s">
        <v>113</v>
      </c>
      <c r="D27" s="19">
        <f aca="true" t="shared" si="0" ref="D27:AD36">IF(ISERROR(D2),0,D2)</f>
        <v>11741</v>
      </c>
      <c r="E27" s="19">
        <f t="shared" si="0"/>
        <v>10799</v>
      </c>
      <c r="F27" s="19">
        <f t="shared" si="0"/>
        <v>13112</v>
      </c>
      <c r="G27" s="19">
        <f t="shared" si="0"/>
        <v>14431</v>
      </c>
      <c r="H27" s="19">
        <f t="shared" si="0"/>
        <v>18790</v>
      </c>
      <c r="I27" s="19">
        <f t="shared" si="0"/>
        <v>14523</v>
      </c>
      <c r="J27" s="19">
        <f t="shared" si="0"/>
        <v>12031</v>
      </c>
      <c r="K27" s="19">
        <f t="shared" si="0"/>
        <v>9880</v>
      </c>
      <c r="L27" s="19">
        <f t="shared" si="0"/>
        <v>10188</v>
      </c>
      <c r="M27" s="19">
        <f t="shared" si="0"/>
        <v>7793</v>
      </c>
      <c r="N27" s="19">
        <f t="shared" si="0"/>
        <v>6161</v>
      </c>
      <c r="O27" s="19">
        <f t="shared" si="0"/>
        <v>10036</v>
      </c>
      <c r="P27" s="19">
        <f t="shared" si="0"/>
        <v>12652</v>
      </c>
      <c r="Q27" s="19">
        <f t="shared" si="0"/>
        <v>12328</v>
      </c>
      <c r="R27" s="19">
        <f t="shared" si="0"/>
        <v>17404</v>
      </c>
      <c r="S27" s="19">
        <f t="shared" si="0"/>
        <v>15154</v>
      </c>
      <c r="T27" s="19">
        <f t="shared" si="0"/>
        <v>17076</v>
      </c>
      <c r="U27" s="19">
        <f t="shared" si="0"/>
        <v>15652</v>
      </c>
      <c r="V27" s="19">
        <f t="shared" si="0"/>
        <v>13210</v>
      </c>
      <c r="W27" s="19">
        <f t="shared" si="0"/>
        <v>11017</v>
      </c>
      <c r="X27" s="19">
        <f t="shared" si="0"/>
        <v>11528</v>
      </c>
      <c r="Y27" s="19">
        <f t="shared" si="0"/>
        <v>8777</v>
      </c>
      <c r="Z27" s="19">
        <f t="shared" si="0"/>
        <v>7658</v>
      </c>
      <c r="AA27" s="19">
        <f t="shared" si="0"/>
        <v>10420</v>
      </c>
      <c r="AB27" s="19">
        <f t="shared" si="0"/>
        <v>15529</v>
      </c>
      <c r="AC27" s="19">
        <f t="shared" si="0"/>
        <v>13470</v>
      </c>
      <c r="AD27" s="19">
        <f t="shared" si="0"/>
        <v>15248</v>
      </c>
      <c r="AE27" s="19">
        <f aca="true" t="shared" si="1" ref="AE27:AF35">IF(ISERROR(AE2),0,AE2)</f>
        <v>20413</v>
      </c>
      <c r="AF27" s="19">
        <f t="shared" si="1"/>
        <v>19620</v>
      </c>
      <c r="AG27" s="19">
        <f aca="true" t="shared" si="2" ref="AG27:AH48">IF(ISERROR(AG2),0,AG2)</f>
        <v>13338</v>
      </c>
      <c r="AH27" s="19">
        <f t="shared" si="2"/>
        <v>11374</v>
      </c>
      <c r="AI27" s="19">
        <f aca="true" t="shared" si="3" ref="AI27:AJ48">IF(ISERROR(AI2),0,AI2)</f>
        <v>12653</v>
      </c>
      <c r="AJ27" s="19">
        <f t="shared" si="3"/>
        <v>12193</v>
      </c>
    </row>
    <row r="28" spans="2:36" ht="12.75">
      <c r="B28" s="18" t="s">
        <v>27</v>
      </c>
      <c r="C28" s="19" t="s">
        <v>113</v>
      </c>
      <c r="D28" s="19">
        <f t="shared" si="0"/>
        <v>8263</v>
      </c>
      <c r="E28" s="19">
        <f t="shared" si="0"/>
        <v>7642</v>
      </c>
      <c r="F28" s="19">
        <f t="shared" si="0"/>
        <v>9281</v>
      </c>
      <c r="G28" s="19">
        <f t="shared" si="0"/>
        <v>10222</v>
      </c>
      <c r="H28" s="19">
        <f t="shared" si="0"/>
        <v>13326</v>
      </c>
      <c r="I28" s="19">
        <f t="shared" si="0"/>
        <v>11651</v>
      </c>
      <c r="J28" s="19">
        <f t="shared" si="0"/>
        <v>9885</v>
      </c>
      <c r="K28" s="19">
        <f t="shared" si="0"/>
        <v>7980</v>
      </c>
      <c r="L28" s="19">
        <f t="shared" si="0"/>
        <v>7488</v>
      </c>
      <c r="M28" s="19">
        <f t="shared" si="0"/>
        <v>6298</v>
      </c>
      <c r="N28" s="19">
        <f t="shared" si="0"/>
        <v>5674</v>
      </c>
      <c r="O28" s="19">
        <f t="shared" si="0"/>
        <v>7330</v>
      </c>
      <c r="P28" s="19">
        <f t="shared" si="0"/>
        <v>8895</v>
      </c>
      <c r="Q28" s="19">
        <f t="shared" si="0"/>
        <v>8301</v>
      </c>
      <c r="R28" s="19">
        <f t="shared" si="0"/>
        <v>11887</v>
      </c>
      <c r="S28" s="19">
        <f t="shared" si="0"/>
        <v>10818</v>
      </c>
      <c r="T28" s="19">
        <f t="shared" si="0"/>
        <v>11582</v>
      </c>
      <c r="U28" s="19">
        <f t="shared" si="0"/>
        <v>10817</v>
      </c>
      <c r="V28" s="19">
        <f t="shared" si="0"/>
        <v>8978</v>
      </c>
      <c r="W28" s="19">
        <f t="shared" si="0"/>
        <v>8045</v>
      </c>
      <c r="X28" s="19">
        <f t="shared" si="0"/>
        <v>7739</v>
      </c>
      <c r="Y28" s="19">
        <f t="shared" si="0"/>
        <v>6846</v>
      </c>
      <c r="Z28" s="19">
        <f t="shared" si="0"/>
        <v>6643</v>
      </c>
      <c r="AA28" s="19">
        <f t="shared" si="0"/>
        <v>7328</v>
      </c>
      <c r="AB28" s="19">
        <f t="shared" si="0"/>
        <v>10228</v>
      </c>
      <c r="AC28" s="19">
        <f t="shared" si="0"/>
        <v>9162</v>
      </c>
      <c r="AD28" s="19">
        <f t="shared" si="0"/>
        <v>10281</v>
      </c>
      <c r="AE28" s="19">
        <f t="shared" si="1"/>
        <v>14805</v>
      </c>
      <c r="AF28" s="19">
        <f t="shared" si="1"/>
        <v>13415</v>
      </c>
      <c r="AG28" s="19">
        <f t="shared" si="2"/>
        <v>10057</v>
      </c>
      <c r="AH28" s="19">
        <f t="shared" si="2"/>
        <v>8551</v>
      </c>
      <c r="AI28" s="19">
        <f t="shared" si="3"/>
        <v>9176</v>
      </c>
      <c r="AJ28" s="19">
        <f t="shared" si="3"/>
        <v>8403</v>
      </c>
    </row>
    <row r="29" spans="2:36" ht="12.75">
      <c r="B29" s="18" t="s">
        <v>28</v>
      </c>
      <c r="C29" s="19" t="s">
        <v>113</v>
      </c>
      <c r="D29" s="19">
        <f t="shared" si="0"/>
        <v>682</v>
      </c>
      <c r="E29" s="19">
        <f t="shared" si="0"/>
        <v>694</v>
      </c>
      <c r="F29" s="19">
        <f t="shared" si="0"/>
        <v>604</v>
      </c>
      <c r="G29" s="19">
        <f t="shared" si="0"/>
        <v>573</v>
      </c>
      <c r="H29" s="19">
        <f t="shared" si="0"/>
        <v>523</v>
      </c>
      <c r="I29" s="19">
        <f t="shared" si="0"/>
        <v>585</v>
      </c>
      <c r="J29" s="19">
        <f t="shared" si="0"/>
        <v>601</v>
      </c>
      <c r="K29" s="19">
        <f t="shared" si="0"/>
        <v>615</v>
      </c>
      <c r="L29" s="19">
        <f t="shared" si="0"/>
        <v>699</v>
      </c>
      <c r="M29" s="19">
        <f t="shared" si="0"/>
        <v>657</v>
      </c>
      <c r="N29" s="19">
        <f t="shared" si="0"/>
        <v>672</v>
      </c>
      <c r="O29" s="19">
        <f t="shared" si="0"/>
        <v>722</v>
      </c>
      <c r="P29" s="19">
        <f t="shared" si="0"/>
        <v>520</v>
      </c>
      <c r="Q29" s="19">
        <f t="shared" si="0"/>
        <v>522</v>
      </c>
      <c r="R29" s="19">
        <f t="shared" si="0"/>
        <v>517</v>
      </c>
      <c r="S29" s="19">
        <f t="shared" si="0"/>
        <v>512</v>
      </c>
      <c r="T29" s="19">
        <f t="shared" si="0"/>
        <v>503</v>
      </c>
      <c r="U29" s="19">
        <f t="shared" si="0"/>
        <v>664</v>
      </c>
      <c r="V29" s="19">
        <f t="shared" si="0"/>
        <v>450</v>
      </c>
      <c r="W29" s="19">
        <f t="shared" si="0"/>
        <v>546</v>
      </c>
      <c r="X29" s="19">
        <f t="shared" si="0"/>
        <v>654</v>
      </c>
      <c r="Y29" s="19">
        <f t="shared" si="0"/>
        <v>709</v>
      </c>
      <c r="Z29" s="19">
        <f t="shared" si="0"/>
        <v>741</v>
      </c>
      <c r="AA29" s="19">
        <f t="shared" si="0"/>
        <v>718</v>
      </c>
      <c r="AB29" s="19">
        <f t="shared" si="0"/>
        <v>598</v>
      </c>
      <c r="AC29" s="19">
        <f t="shared" si="0"/>
        <v>509</v>
      </c>
      <c r="AD29" s="19">
        <f t="shared" si="0"/>
        <v>490</v>
      </c>
      <c r="AE29" s="19">
        <f t="shared" si="1"/>
        <v>537</v>
      </c>
      <c r="AF29" s="19">
        <f t="shared" si="1"/>
        <v>462</v>
      </c>
      <c r="AG29" s="19">
        <f t="shared" si="2"/>
        <v>573</v>
      </c>
      <c r="AH29" s="19">
        <f t="shared" si="2"/>
        <v>510</v>
      </c>
      <c r="AI29" s="19">
        <f t="shared" si="3"/>
        <v>599</v>
      </c>
      <c r="AJ29" s="19">
        <f t="shared" si="3"/>
        <v>603</v>
      </c>
    </row>
    <row r="30" spans="2:36" ht="12.75">
      <c r="B30" s="18" t="s">
        <v>29</v>
      </c>
      <c r="C30" s="19" t="s">
        <v>113</v>
      </c>
      <c r="D30" s="19">
        <f t="shared" si="0"/>
        <v>761</v>
      </c>
      <c r="E30" s="19">
        <f t="shared" si="0"/>
        <v>766</v>
      </c>
      <c r="F30" s="19">
        <f t="shared" si="0"/>
        <v>743</v>
      </c>
      <c r="G30" s="19">
        <f t="shared" si="0"/>
        <v>661</v>
      </c>
      <c r="H30" s="19">
        <f t="shared" si="0"/>
        <v>611</v>
      </c>
      <c r="I30" s="19">
        <f t="shared" si="0"/>
        <v>681</v>
      </c>
      <c r="J30" s="19">
        <f t="shared" si="0"/>
        <v>763</v>
      </c>
      <c r="K30" s="19">
        <f t="shared" si="0"/>
        <v>820</v>
      </c>
      <c r="L30" s="19">
        <f t="shared" si="0"/>
        <v>1008</v>
      </c>
      <c r="M30" s="19">
        <f t="shared" si="0"/>
        <v>1015</v>
      </c>
      <c r="N30" s="19">
        <f t="shared" si="0"/>
        <v>900</v>
      </c>
      <c r="O30" s="19">
        <f t="shared" si="0"/>
        <v>894</v>
      </c>
      <c r="P30" s="19">
        <f t="shared" si="0"/>
        <v>891</v>
      </c>
      <c r="Q30" s="19">
        <f t="shared" si="0"/>
        <v>919</v>
      </c>
      <c r="R30" s="19">
        <f t="shared" si="0"/>
        <v>797</v>
      </c>
      <c r="S30" s="19">
        <f t="shared" si="0"/>
        <v>665</v>
      </c>
      <c r="T30" s="19">
        <f t="shared" si="0"/>
        <v>670</v>
      </c>
      <c r="U30" s="19">
        <f t="shared" si="0"/>
        <v>831</v>
      </c>
      <c r="V30" s="19">
        <f t="shared" si="0"/>
        <v>715</v>
      </c>
      <c r="W30" s="19">
        <f t="shared" si="0"/>
        <v>788</v>
      </c>
      <c r="X30" s="19">
        <f t="shared" si="0"/>
        <v>873</v>
      </c>
      <c r="Y30" s="19">
        <f t="shared" si="0"/>
        <v>969</v>
      </c>
      <c r="Z30" s="19">
        <f t="shared" si="0"/>
        <v>939</v>
      </c>
      <c r="AA30" s="19">
        <f t="shared" si="0"/>
        <v>846</v>
      </c>
      <c r="AB30" s="19">
        <f t="shared" si="0"/>
        <v>905</v>
      </c>
      <c r="AC30" s="19">
        <f t="shared" si="0"/>
        <v>838</v>
      </c>
      <c r="AD30" s="19">
        <f t="shared" si="0"/>
        <v>625</v>
      </c>
      <c r="AE30" s="19">
        <f t="shared" si="1"/>
        <v>714</v>
      </c>
      <c r="AF30" s="19">
        <f t="shared" si="1"/>
        <v>573</v>
      </c>
      <c r="AG30" s="19">
        <f t="shared" si="2"/>
        <v>723</v>
      </c>
      <c r="AH30" s="19">
        <f t="shared" si="2"/>
        <v>679</v>
      </c>
      <c r="AI30" s="19">
        <f t="shared" si="3"/>
        <v>820</v>
      </c>
      <c r="AJ30" s="19">
        <f t="shared" si="3"/>
        <v>876</v>
      </c>
    </row>
    <row r="31" spans="2:36" ht="12.75">
      <c r="B31" s="18" t="s">
        <v>30</v>
      </c>
      <c r="C31" s="19" t="s">
        <v>113</v>
      </c>
      <c r="D31" s="19">
        <f t="shared" si="0"/>
        <v>546</v>
      </c>
      <c r="E31" s="19">
        <f t="shared" si="0"/>
        <v>462</v>
      </c>
      <c r="F31" s="19">
        <f t="shared" si="0"/>
        <v>633</v>
      </c>
      <c r="G31" s="19">
        <f t="shared" si="0"/>
        <v>633</v>
      </c>
      <c r="H31" s="19">
        <f t="shared" si="0"/>
        <v>886</v>
      </c>
      <c r="I31" s="19">
        <f t="shared" si="0"/>
        <v>584</v>
      </c>
      <c r="J31" s="19">
        <f t="shared" si="0"/>
        <v>579</v>
      </c>
      <c r="K31" s="19">
        <f t="shared" si="0"/>
        <v>337</v>
      </c>
      <c r="L31" s="19">
        <f t="shared" si="0"/>
        <v>400</v>
      </c>
      <c r="M31" s="19">
        <f t="shared" si="0"/>
        <v>247</v>
      </c>
      <c r="N31" s="19">
        <f t="shared" si="0"/>
        <v>181</v>
      </c>
      <c r="O31" s="19">
        <f t="shared" si="0"/>
        <v>354</v>
      </c>
      <c r="P31" s="19">
        <f t="shared" si="0"/>
        <v>426</v>
      </c>
      <c r="Q31" s="19">
        <f t="shared" si="0"/>
        <v>394</v>
      </c>
      <c r="R31" s="19">
        <f t="shared" si="0"/>
        <v>556</v>
      </c>
      <c r="S31" s="19">
        <f t="shared" si="0"/>
        <v>460</v>
      </c>
      <c r="T31" s="19">
        <f t="shared" si="0"/>
        <v>535</v>
      </c>
      <c r="U31" s="19">
        <f t="shared" si="0"/>
        <v>476</v>
      </c>
      <c r="V31" s="19">
        <f t="shared" si="0"/>
        <v>332</v>
      </c>
      <c r="W31" s="19">
        <f t="shared" si="0"/>
        <v>281</v>
      </c>
      <c r="X31" s="19">
        <f t="shared" si="0"/>
        <v>249</v>
      </c>
      <c r="Y31" s="19">
        <f t="shared" si="0"/>
        <v>203</v>
      </c>
      <c r="Z31" s="19">
        <f t="shared" si="0"/>
        <v>173</v>
      </c>
      <c r="AA31" s="19">
        <f t="shared" si="0"/>
        <v>292</v>
      </c>
      <c r="AB31" s="19">
        <f t="shared" si="0"/>
        <v>465</v>
      </c>
      <c r="AC31" s="19">
        <f t="shared" si="0"/>
        <v>354</v>
      </c>
      <c r="AD31" s="19">
        <f t="shared" si="0"/>
        <v>467</v>
      </c>
      <c r="AE31" s="19">
        <f t="shared" si="1"/>
        <v>639</v>
      </c>
      <c r="AF31" s="19">
        <f t="shared" si="1"/>
        <v>520</v>
      </c>
      <c r="AG31" s="19">
        <f t="shared" si="2"/>
        <v>413</v>
      </c>
      <c r="AH31" s="19">
        <f t="shared" si="2"/>
        <v>338</v>
      </c>
      <c r="AI31" s="19">
        <f t="shared" si="3"/>
        <v>346</v>
      </c>
      <c r="AJ31" s="19">
        <f t="shared" si="3"/>
        <v>324</v>
      </c>
    </row>
    <row r="32" spans="2:36" ht="12.75">
      <c r="B32" s="18" t="s">
        <v>31</v>
      </c>
      <c r="C32" s="19" t="s">
        <v>113</v>
      </c>
      <c r="D32" s="19">
        <f t="shared" si="0"/>
        <v>677</v>
      </c>
      <c r="E32" s="19">
        <f t="shared" si="0"/>
        <v>592</v>
      </c>
      <c r="F32" s="19">
        <f t="shared" si="0"/>
        <v>745</v>
      </c>
      <c r="G32" s="19">
        <f t="shared" si="0"/>
        <v>768</v>
      </c>
      <c r="H32" s="19">
        <f t="shared" si="0"/>
        <v>1026</v>
      </c>
      <c r="I32" s="19">
        <f t="shared" si="0"/>
        <v>792</v>
      </c>
      <c r="J32" s="19">
        <f t="shared" si="0"/>
        <v>671</v>
      </c>
      <c r="K32" s="19">
        <f t="shared" si="0"/>
        <v>430</v>
      </c>
      <c r="L32" s="19">
        <f t="shared" si="0"/>
        <v>431</v>
      </c>
      <c r="M32" s="19">
        <f t="shared" si="0"/>
        <v>307</v>
      </c>
      <c r="N32" s="19">
        <f t="shared" si="0"/>
        <v>164</v>
      </c>
      <c r="O32" s="19">
        <f t="shared" si="0"/>
        <v>331</v>
      </c>
      <c r="P32" s="19">
        <f t="shared" si="0"/>
        <v>544</v>
      </c>
      <c r="Q32" s="19">
        <f t="shared" si="0"/>
        <v>436</v>
      </c>
      <c r="R32" s="19">
        <f t="shared" si="0"/>
        <v>690</v>
      </c>
      <c r="S32" s="19">
        <f t="shared" si="0"/>
        <v>557</v>
      </c>
      <c r="T32" s="19">
        <f t="shared" si="0"/>
        <v>689</v>
      </c>
      <c r="U32" s="19">
        <f t="shared" si="0"/>
        <v>583</v>
      </c>
      <c r="V32" s="19">
        <f t="shared" si="0"/>
        <v>427</v>
      </c>
      <c r="W32" s="19">
        <f t="shared" si="0"/>
        <v>297</v>
      </c>
      <c r="X32" s="19">
        <f t="shared" si="0"/>
        <v>316</v>
      </c>
      <c r="Y32" s="19">
        <f t="shared" si="0"/>
        <v>223</v>
      </c>
      <c r="Z32" s="19">
        <f t="shared" si="0"/>
        <v>164</v>
      </c>
      <c r="AA32" s="19">
        <f t="shared" si="0"/>
        <v>272</v>
      </c>
      <c r="AB32" s="19">
        <f t="shared" si="0"/>
        <v>383</v>
      </c>
      <c r="AC32" s="19">
        <f t="shared" si="0"/>
        <v>245</v>
      </c>
      <c r="AD32" s="19">
        <f t="shared" si="0"/>
        <v>235</v>
      </c>
      <c r="AE32" s="19">
        <f t="shared" si="1"/>
        <v>310</v>
      </c>
      <c r="AF32" s="19">
        <f t="shared" si="1"/>
        <v>259</v>
      </c>
      <c r="AG32" s="19">
        <f t="shared" si="2"/>
        <v>94</v>
      </c>
      <c r="AH32" s="19">
        <f t="shared" si="2"/>
        <v>85</v>
      </c>
      <c r="AI32" s="19">
        <f t="shared" si="3"/>
        <v>80</v>
      </c>
      <c r="AJ32" s="19">
        <f t="shared" si="3"/>
        <v>53</v>
      </c>
    </row>
    <row r="33" spans="2:36" ht="12.75">
      <c r="B33" s="18" t="s">
        <v>32</v>
      </c>
      <c r="C33" s="19" t="s">
        <v>113</v>
      </c>
      <c r="D33" s="19">
        <f t="shared" si="0"/>
        <v>1462</v>
      </c>
      <c r="E33" s="19">
        <f t="shared" si="0"/>
        <v>1201</v>
      </c>
      <c r="F33" s="19">
        <f t="shared" si="0"/>
        <v>1641</v>
      </c>
      <c r="G33" s="19">
        <f t="shared" si="0"/>
        <v>1740</v>
      </c>
      <c r="H33" s="19">
        <f t="shared" si="0"/>
        <v>2337</v>
      </c>
      <c r="I33" s="19">
        <f t="shared" si="0"/>
        <v>1705</v>
      </c>
      <c r="J33" s="19">
        <f t="shared" si="0"/>
        <v>1436</v>
      </c>
      <c r="K33" s="19">
        <f t="shared" si="0"/>
        <v>1057</v>
      </c>
      <c r="L33" s="19">
        <f t="shared" si="0"/>
        <v>1061</v>
      </c>
      <c r="M33" s="19">
        <f t="shared" si="0"/>
        <v>702</v>
      </c>
      <c r="N33" s="19">
        <f t="shared" si="0"/>
        <v>490</v>
      </c>
      <c r="O33" s="19">
        <f t="shared" si="0"/>
        <v>1040</v>
      </c>
      <c r="P33" s="19">
        <f t="shared" si="0"/>
        <v>1396</v>
      </c>
      <c r="Q33" s="19">
        <f t="shared" si="0"/>
        <v>1259</v>
      </c>
      <c r="R33" s="19">
        <f t="shared" si="0"/>
        <v>1802</v>
      </c>
      <c r="S33" s="19">
        <f t="shared" si="0"/>
        <v>1542</v>
      </c>
      <c r="T33" s="19">
        <f t="shared" si="0"/>
        <v>1900</v>
      </c>
      <c r="U33" s="19">
        <f t="shared" si="0"/>
        <v>1623</v>
      </c>
      <c r="V33" s="19">
        <f t="shared" si="0"/>
        <v>1166</v>
      </c>
      <c r="W33" s="19">
        <f t="shared" si="0"/>
        <v>886</v>
      </c>
      <c r="X33" s="19">
        <f t="shared" si="0"/>
        <v>927</v>
      </c>
      <c r="Y33" s="19">
        <f t="shared" si="0"/>
        <v>621</v>
      </c>
      <c r="Z33" s="19">
        <f t="shared" si="0"/>
        <v>550</v>
      </c>
      <c r="AA33" s="19">
        <f t="shared" si="0"/>
        <v>992</v>
      </c>
      <c r="AB33" s="19">
        <f t="shared" si="0"/>
        <v>1572</v>
      </c>
      <c r="AC33" s="19">
        <f t="shared" si="0"/>
        <v>1293</v>
      </c>
      <c r="AD33" s="19">
        <f t="shared" si="0"/>
        <v>1577</v>
      </c>
      <c r="AE33" s="19">
        <f t="shared" si="1"/>
        <v>2267</v>
      </c>
      <c r="AF33" s="19">
        <f t="shared" si="1"/>
        <v>2079</v>
      </c>
      <c r="AG33" s="19">
        <f t="shared" si="2"/>
        <v>1380</v>
      </c>
      <c r="AH33" s="19">
        <f t="shared" si="2"/>
        <v>1125</v>
      </c>
      <c r="AI33" s="19">
        <f t="shared" si="3"/>
        <v>1148</v>
      </c>
      <c r="AJ33" s="19">
        <f t="shared" si="3"/>
        <v>1007</v>
      </c>
    </row>
    <row r="34" spans="2:36" ht="12.75">
      <c r="B34" s="18" t="s">
        <v>33</v>
      </c>
      <c r="C34" s="19" t="s">
        <v>113</v>
      </c>
      <c r="D34" s="19">
        <f t="shared" si="0"/>
        <v>3826</v>
      </c>
      <c r="E34" s="19">
        <f t="shared" si="0"/>
        <v>3427</v>
      </c>
      <c r="F34" s="19">
        <f t="shared" si="0"/>
        <v>4291</v>
      </c>
      <c r="G34" s="19">
        <f t="shared" si="0"/>
        <v>4865</v>
      </c>
      <c r="H34" s="19">
        <f t="shared" si="0"/>
        <v>6658</v>
      </c>
      <c r="I34" s="19">
        <f t="shared" si="0"/>
        <v>5511</v>
      </c>
      <c r="J34" s="19">
        <f t="shared" si="0"/>
        <v>3920</v>
      </c>
      <c r="K34" s="19">
        <f t="shared" si="0"/>
        <v>2795</v>
      </c>
      <c r="L34" s="19">
        <f t="shared" si="0"/>
        <v>2437</v>
      </c>
      <c r="M34" s="19">
        <f t="shared" si="0"/>
        <v>1501</v>
      </c>
      <c r="N34" s="19">
        <f t="shared" si="0"/>
        <v>1417</v>
      </c>
      <c r="O34" s="19">
        <f t="shared" si="0"/>
        <v>2357</v>
      </c>
      <c r="P34" s="19">
        <f t="shared" si="0"/>
        <v>2925</v>
      </c>
      <c r="Q34" s="19">
        <f t="shared" si="0"/>
        <v>2581</v>
      </c>
      <c r="R34" s="19">
        <f t="shared" si="0"/>
        <v>3589</v>
      </c>
      <c r="S34" s="19">
        <f t="shared" si="0"/>
        <v>3681</v>
      </c>
      <c r="T34" s="19">
        <f t="shared" si="0"/>
        <v>3704</v>
      </c>
      <c r="U34" s="19">
        <f t="shared" si="0"/>
        <v>3326</v>
      </c>
      <c r="V34" s="19">
        <f t="shared" si="0"/>
        <v>2486</v>
      </c>
      <c r="W34" s="19">
        <f t="shared" si="0"/>
        <v>1944</v>
      </c>
      <c r="X34" s="19">
        <f t="shared" si="0"/>
        <v>1677</v>
      </c>
      <c r="Y34" s="19">
        <f t="shared" si="0"/>
        <v>1184</v>
      </c>
      <c r="Z34" s="19">
        <f t="shared" si="0"/>
        <v>1279</v>
      </c>
      <c r="AA34" s="19">
        <f t="shared" si="0"/>
        <v>1673</v>
      </c>
      <c r="AB34" s="19">
        <f t="shared" si="0"/>
        <v>2455</v>
      </c>
      <c r="AC34" s="19">
        <f t="shared" si="0"/>
        <v>2276</v>
      </c>
      <c r="AD34" s="19">
        <f t="shared" si="0"/>
        <v>2544</v>
      </c>
      <c r="AE34" s="19">
        <f t="shared" si="1"/>
        <v>4081</v>
      </c>
      <c r="AF34" s="19">
        <f t="shared" si="1"/>
        <v>3625</v>
      </c>
      <c r="AG34" s="19">
        <f t="shared" si="2"/>
        <v>2440</v>
      </c>
      <c r="AH34" s="19">
        <f t="shared" si="2"/>
        <v>1956</v>
      </c>
      <c r="AI34" s="19">
        <f t="shared" si="3"/>
        <v>1969</v>
      </c>
      <c r="AJ34" s="19">
        <f t="shared" si="3"/>
        <v>1679</v>
      </c>
    </row>
    <row r="35" spans="2:36" ht="12.75">
      <c r="B35" s="18" t="s">
        <v>34</v>
      </c>
      <c r="C35" s="19" t="s">
        <v>113</v>
      </c>
      <c r="D35" s="19">
        <f t="shared" si="0"/>
        <v>2492</v>
      </c>
      <c r="E35" s="19">
        <f t="shared" si="0"/>
        <v>2287</v>
      </c>
      <c r="F35" s="19">
        <f t="shared" si="0"/>
        <v>3013</v>
      </c>
      <c r="G35" s="19">
        <f t="shared" si="0"/>
        <v>3182</v>
      </c>
      <c r="H35" s="19">
        <f t="shared" si="0"/>
        <v>4034</v>
      </c>
      <c r="I35" s="19">
        <f t="shared" si="0"/>
        <v>3500</v>
      </c>
      <c r="J35" s="19">
        <f t="shared" si="0"/>
        <v>3123</v>
      </c>
      <c r="K35" s="19">
        <f t="shared" si="0"/>
        <v>2259</v>
      </c>
      <c r="L35" s="19">
        <f t="shared" si="0"/>
        <v>2194</v>
      </c>
      <c r="M35" s="19">
        <f t="shared" si="0"/>
        <v>1740</v>
      </c>
      <c r="N35" s="19">
        <f t="shared" si="0"/>
        <v>1351</v>
      </c>
      <c r="O35" s="19">
        <f t="shared" si="0"/>
        <v>1953</v>
      </c>
      <c r="P35" s="19">
        <f t="shared" si="0"/>
        <v>2295</v>
      </c>
      <c r="Q35" s="19">
        <f t="shared" si="0"/>
        <v>2140</v>
      </c>
      <c r="R35" s="19">
        <f t="shared" si="0"/>
        <v>2805</v>
      </c>
      <c r="S35" s="19">
        <f t="shared" si="0"/>
        <v>2429</v>
      </c>
      <c r="T35" s="19">
        <f t="shared" si="0"/>
        <v>2665</v>
      </c>
      <c r="U35" s="19">
        <f t="shared" si="0"/>
        <v>2649</v>
      </c>
      <c r="V35" s="19">
        <f t="shared" si="0"/>
        <v>2139</v>
      </c>
      <c r="W35" s="19">
        <f t="shared" si="0"/>
        <v>1838</v>
      </c>
      <c r="X35" s="19">
        <f t="shared" si="0"/>
        <v>1835</v>
      </c>
      <c r="Y35" s="19">
        <f t="shared" si="0"/>
        <v>1696</v>
      </c>
      <c r="Z35" s="19">
        <f t="shared" si="0"/>
        <v>1566</v>
      </c>
      <c r="AA35" s="19">
        <f t="shared" si="0"/>
        <v>1922</v>
      </c>
      <c r="AB35" s="19">
        <f t="shared" si="0"/>
        <v>2468</v>
      </c>
      <c r="AC35" s="19">
        <f t="shared" si="0"/>
        <v>2178</v>
      </c>
      <c r="AD35" s="19">
        <f t="shared" si="0"/>
        <v>2542</v>
      </c>
      <c r="AE35" s="19">
        <f t="shared" si="1"/>
        <v>3276</v>
      </c>
      <c r="AF35" s="19">
        <f t="shared" si="1"/>
        <v>2980</v>
      </c>
      <c r="AG35" s="19">
        <f t="shared" si="2"/>
        <v>2353</v>
      </c>
      <c r="AH35" s="19">
        <f t="shared" si="2"/>
        <v>1895</v>
      </c>
      <c r="AI35" s="19">
        <f t="shared" si="3"/>
        <v>2078</v>
      </c>
      <c r="AJ35" s="19">
        <f t="shared" si="3"/>
        <v>2021</v>
      </c>
    </row>
    <row r="36" spans="2:36" ht="12.75">
      <c r="B36" s="18" t="s">
        <v>35</v>
      </c>
      <c r="C36" s="19" t="s">
        <v>113</v>
      </c>
      <c r="D36" s="19">
        <f t="shared" si="0"/>
        <v>8193</v>
      </c>
      <c r="E36" s="19">
        <f t="shared" si="0"/>
        <v>7282</v>
      </c>
      <c r="F36" s="19">
        <f t="shared" si="0"/>
        <v>9981</v>
      </c>
      <c r="G36" s="19">
        <f t="shared" si="0"/>
        <v>10951</v>
      </c>
      <c r="H36" s="19">
        <f t="shared" si="0"/>
        <v>14165</v>
      </c>
      <c r="I36" s="19">
        <f t="shared" si="0"/>
        <v>11295</v>
      </c>
      <c r="J36" s="19">
        <f t="shared" si="0"/>
        <v>9989</v>
      </c>
      <c r="K36" s="19">
        <f t="shared" si="0"/>
        <v>7037</v>
      </c>
      <c r="L36" s="19">
        <f t="shared" si="0"/>
        <v>6856</v>
      </c>
      <c r="M36" s="19">
        <f t="shared" si="0"/>
        <v>4816</v>
      </c>
      <c r="N36" s="19">
        <f t="shared" si="0"/>
        <v>3795</v>
      </c>
      <c r="O36" s="19">
        <f t="shared" si="0"/>
        <v>5987</v>
      </c>
      <c r="P36" s="19">
        <f aca="true" t="shared" si="4" ref="P36:AD36">IF(ISERROR(P11),0,P11)</f>
        <v>7842</v>
      </c>
      <c r="Q36" s="19">
        <f t="shared" si="4"/>
        <v>6532</v>
      </c>
      <c r="R36" s="19">
        <f t="shared" si="4"/>
        <v>10146</v>
      </c>
      <c r="S36" s="19">
        <f t="shared" si="4"/>
        <v>8816</v>
      </c>
      <c r="T36" s="19">
        <f t="shared" si="4"/>
        <v>10881</v>
      </c>
      <c r="U36" s="19">
        <f t="shared" si="4"/>
        <v>9478</v>
      </c>
      <c r="V36" s="19">
        <f t="shared" si="4"/>
        <v>8186</v>
      </c>
      <c r="W36" s="19">
        <f t="shared" si="4"/>
        <v>6356</v>
      </c>
      <c r="X36" s="19">
        <f t="shared" si="4"/>
        <v>6121</v>
      </c>
      <c r="Y36" s="19">
        <f t="shared" si="4"/>
        <v>5296</v>
      </c>
      <c r="Z36" s="19">
        <f t="shared" si="4"/>
        <v>4319</v>
      </c>
      <c r="AA36" s="19">
        <f t="shared" si="4"/>
        <v>5484</v>
      </c>
      <c r="AB36" s="19">
        <f t="shared" si="4"/>
        <v>9115</v>
      </c>
      <c r="AC36" s="19">
        <f t="shared" si="4"/>
        <v>8075</v>
      </c>
      <c r="AD36" s="19">
        <f t="shared" si="4"/>
        <v>10274</v>
      </c>
      <c r="AE36" s="19">
        <f aca="true" t="shared" si="5" ref="AE36:AF45">IF(ISERROR(AE11),0,AE11)</f>
        <v>14313</v>
      </c>
      <c r="AF36" s="19">
        <f t="shared" si="5"/>
        <v>13672</v>
      </c>
      <c r="AG36" s="19">
        <f t="shared" si="2"/>
        <v>9165</v>
      </c>
      <c r="AH36" s="19">
        <f t="shared" si="2"/>
        <v>7303</v>
      </c>
      <c r="AI36" s="19">
        <f t="shared" si="3"/>
        <v>7657</v>
      </c>
      <c r="AJ36" s="19">
        <f t="shared" si="3"/>
        <v>7070</v>
      </c>
    </row>
    <row r="37" spans="2:36" ht="12.75">
      <c r="B37" s="18" t="s">
        <v>36</v>
      </c>
      <c r="C37" s="19" t="s">
        <v>113</v>
      </c>
      <c r="D37" s="19">
        <f aca="true" t="shared" si="6" ref="D37:AD46">IF(ISERROR(D12),0,D12)</f>
        <v>1067</v>
      </c>
      <c r="E37" s="19">
        <f t="shared" si="6"/>
        <v>957</v>
      </c>
      <c r="F37" s="19">
        <f t="shared" si="6"/>
        <v>1090</v>
      </c>
      <c r="G37" s="19">
        <f t="shared" si="6"/>
        <v>1262</v>
      </c>
      <c r="H37" s="19">
        <f t="shared" si="6"/>
        <v>1510</v>
      </c>
      <c r="I37" s="19">
        <f t="shared" si="6"/>
        <v>1177</v>
      </c>
      <c r="J37" s="19">
        <f t="shared" si="6"/>
        <v>780</v>
      </c>
      <c r="K37" s="19">
        <f t="shared" si="6"/>
        <v>604</v>
      </c>
      <c r="L37" s="19">
        <f t="shared" si="6"/>
        <v>414</v>
      </c>
      <c r="M37" s="19">
        <f t="shared" si="6"/>
        <v>288</v>
      </c>
      <c r="N37" s="19">
        <f t="shared" si="6"/>
        <v>268</v>
      </c>
      <c r="O37" s="19">
        <f t="shared" si="6"/>
        <v>487</v>
      </c>
      <c r="P37" s="19">
        <f t="shared" si="6"/>
        <v>571</v>
      </c>
      <c r="Q37" s="19">
        <f t="shared" si="6"/>
        <v>480</v>
      </c>
      <c r="R37" s="19">
        <f t="shared" si="6"/>
        <v>704</v>
      </c>
      <c r="S37" s="19">
        <f t="shared" si="6"/>
        <v>731</v>
      </c>
      <c r="T37" s="19">
        <f t="shared" si="6"/>
        <v>824</v>
      </c>
      <c r="U37" s="19">
        <f t="shared" si="6"/>
        <v>778</v>
      </c>
      <c r="V37" s="19">
        <f t="shared" si="6"/>
        <v>464</v>
      </c>
      <c r="W37" s="19">
        <f t="shared" si="6"/>
        <v>398</v>
      </c>
      <c r="X37" s="19">
        <f t="shared" si="6"/>
        <v>323</v>
      </c>
      <c r="Y37" s="19">
        <f t="shared" si="6"/>
        <v>267</v>
      </c>
      <c r="Z37" s="19">
        <f t="shared" si="6"/>
        <v>293</v>
      </c>
      <c r="AA37" s="19">
        <f t="shared" si="6"/>
        <v>399</v>
      </c>
      <c r="AB37" s="19">
        <f t="shared" si="6"/>
        <v>636</v>
      </c>
      <c r="AC37" s="19">
        <f t="shared" si="6"/>
        <v>610</v>
      </c>
      <c r="AD37" s="19">
        <f t="shared" si="6"/>
        <v>581</v>
      </c>
      <c r="AE37" s="19">
        <f t="shared" si="5"/>
        <v>1011</v>
      </c>
      <c r="AF37" s="19">
        <f t="shared" si="5"/>
        <v>897</v>
      </c>
      <c r="AG37" s="19">
        <f t="shared" si="2"/>
        <v>581</v>
      </c>
      <c r="AH37" s="19">
        <f t="shared" si="2"/>
        <v>419</v>
      </c>
      <c r="AI37" s="19">
        <f t="shared" si="3"/>
        <v>391</v>
      </c>
      <c r="AJ37" s="19">
        <f t="shared" si="3"/>
        <v>299</v>
      </c>
    </row>
    <row r="38" spans="2:36" ht="12.75">
      <c r="B38" s="18" t="s">
        <v>37</v>
      </c>
      <c r="C38" s="19" t="s">
        <v>113</v>
      </c>
      <c r="D38" s="19">
        <f t="shared" si="6"/>
        <v>1163</v>
      </c>
      <c r="E38" s="19">
        <f t="shared" si="6"/>
        <v>1137</v>
      </c>
      <c r="F38" s="19">
        <f t="shared" si="6"/>
        <v>1272</v>
      </c>
      <c r="G38" s="19">
        <f t="shared" si="6"/>
        <v>1607</v>
      </c>
      <c r="H38" s="19">
        <f t="shared" si="6"/>
        <v>2177</v>
      </c>
      <c r="I38" s="19">
        <f t="shared" si="6"/>
        <v>2087</v>
      </c>
      <c r="J38" s="19">
        <f t="shared" si="6"/>
        <v>1191</v>
      </c>
      <c r="K38" s="19">
        <f t="shared" si="6"/>
        <v>1074</v>
      </c>
      <c r="L38" s="19">
        <f t="shared" si="6"/>
        <v>823</v>
      </c>
      <c r="M38" s="19">
        <f t="shared" si="6"/>
        <v>589</v>
      </c>
      <c r="N38" s="19">
        <f t="shared" si="6"/>
        <v>670</v>
      </c>
      <c r="O38" s="19">
        <f t="shared" si="6"/>
        <v>802</v>
      </c>
      <c r="P38" s="19">
        <f t="shared" si="6"/>
        <v>983</v>
      </c>
      <c r="Q38" s="19">
        <f t="shared" si="6"/>
        <v>992</v>
      </c>
      <c r="R38" s="19">
        <f t="shared" si="6"/>
        <v>1265</v>
      </c>
      <c r="S38" s="19">
        <f t="shared" si="6"/>
        <v>1508</v>
      </c>
      <c r="T38" s="19">
        <f t="shared" si="6"/>
        <v>1311</v>
      </c>
      <c r="U38" s="19">
        <f t="shared" si="6"/>
        <v>1548</v>
      </c>
      <c r="V38" s="19">
        <f t="shared" si="6"/>
        <v>932</v>
      </c>
      <c r="W38" s="19">
        <f t="shared" si="6"/>
        <v>908</v>
      </c>
      <c r="X38" s="19">
        <f t="shared" si="6"/>
        <v>844</v>
      </c>
      <c r="Y38" s="19">
        <f t="shared" si="6"/>
        <v>619</v>
      </c>
      <c r="Z38" s="19">
        <f t="shared" si="6"/>
        <v>674</v>
      </c>
      <c r="AA38" s="19">
        <f t="shared" si="6"/>
        <v>783</v>
      </c>
      <c r="AB38" s="19">
        <f t="shared" si="6"/>
        <v>1078</v>
      </c>
      <c r="AC38" s="19">
        <f t="shared" si="6"/>
        <v>1004</v>
      </c>
      <c r="AD38" s="19">
        <f t="shared" si="6"/>
        <v>1093</v>
      </c>
      <c r="AE38" s="19">
        <f t="shared" si="5"/>
        <v>1956</v>
      </c>
      <c r="AF38" s="19">
        <f t="shared" si="5"/>
        <v>1684</v>
      </c>
      <c r="AG38" s="19">
        <f t="shared" si="2"/>
        <v>1208</v>
      </c>
      <c r="AH38" s="19">
        <f t="shared" si="2"/>
        <v>929</v>
      </c>
      <c r="AI38" s="19">
        <f t="shared" si="3"/>
        <v>954</v>
      </c>
      <c r="AJ38" s="19">
        <f t="shared" si="3"/>
        <v>859</v>
      </c>
    </row>
    <row r="39" spans="2:36" ht="12.75">
      <c r="B39" s="18" t="s">
        <v>38</v>
      </c>
      <c r="C39" s="19" t="s">
        <v>113</v>
      </c>
      <c r="D39" s="19">
        <f t="shared" si="6"/>
        <v>1844</v>
      </c>
      <c r="E39" s="19">
        <f t="shared" si="6"/>
        <v>1716</v>
      </c>
      <c r="F39" s="19">
        <f t="shared" si="6"/>
        <v>2060</v>
      </c>
      <c r="G39" s="19">
        <f t="shared" si="6"/>
        <v>2523</v>
      </c>
      <c r="H39" s="19">
        <f t="shared" si="6"/>
        <v>3520</v>
      </c>
      <c r="I39" s="19">
        <f t="shared" si="6"/>
        <v>2586</v>
      </c>
      <c r="J39" s="19">
        <f t="shared" si="6"/>
        <v>1827</v>
      </c>
      <c r="K39" s="19">
        <f t="shared" si="6"/>
        <v>1519</v>
      </c>
      <c r="L39" s="19">
        <f t="shared" si="6"/>
        <v>1361</v>
      </c>
      <c r="M39" s="19">
        <f t="shared" si="6"/>
        <v>882</v>
      </c>
      <c r="N39" s="19">
        <f t="shared" si="6"/>
        <v>836</v>
      </c>
      <c r="O39" s="19">
        <f t="shared" si="6"/>
        <v>1421</v>
      </c>
      <c r="P39" s="19">
        <f t="shared" si="6"/>
        <v>1713</v>
      </c>
      <c r="Q39" s="19">
        <f t="shared" si="6"/>
        <v>1335</v>
      </c>
      <c r="R39" s="19">
        <f t="shared" si="6"/>
        <v>1919</v>
      </c>
      <c r="S39" s="19">
        <f t="shared" si="6"/>
        <v>1901</v>
      </c>
      <c r="T39" s="19">
        <f t="shared" si="6"/>
        <v>1933</v>
      </c>
      <c r="U39" s="19">
        <f t="shared" si="6"/>
        <v>1839</v>
      </c>
      <c r="V39" s="19">
        <f t="shared" si="6"/>
        <v>1345</v>
      </c>
      <c r="W39" s="19">
        <f t="shared" si="6"/>
        <v>1126</v>
      </c>
      <c r="X39" s="19">
        <f t="shared" si="6"/>
        <v>988</v>
      </c>
      <c r="Y39" s="19">
        <f t="shared" si="6"/>
        <v>720</v>
      </c>
      <c r="Z39" s="19">
        <f t="shared" si="6"/>
        <v>798</v>
      </c>
      <c r="AA39" s="19">
        <f t="shared" si="6"/>
        <v>1065</v>
      </c>
      <c r="AB39" s="19">
        <f t="shared" si="6"/>
        <v>1549</v>
      </c>
      <c r="AC39" s="19">
        <f t="shared" si="6"/>
        <v>1323</v>
      </c>
      <c r="AD39" s="19">
        <f t="shared" si="6"/>
        <v>1473</v>
      </c>
      <c r="AE39" s="19">
        <f t="shared" si="5"/>
        <v>2467</v>
      </c>
      <c r="AF39" s="19">
        <f t="shared" si="5"/>
        <v>2334</v>
      </c>
      <c r="AG39" s="19">
        <f t="shared" si="2"/>
        <v>1451</v>
      </c>
      <c r="AH39" s="19">
        <f t="shared" si="2"/>
        <v>1110</v>
      </c>
      <c r="AI39" s="19">
        <f t="shared" si="3"/>
        <v>1198</v>
      </c>
      <c r="AJ39" s="19">
        <f t="shared" si="3"/>
        <v>991</v>
      </c>
    </row>
    <row r="40" spans="2:36" ht="12.75">
      <c r="B40" s="18" t="s">
        <v>39</v>
      </c>
      <c r="C40" s="19" t="s">
        <v>113</v>
      </c>
      <c r="D40" s="19">
        <f t="shared" si="6"/>
        <v>1559</v>
      </c>
      <c r="E40" s="19">
        <f t="shared" si="6"/>
        <v>1264</v>
      </c>
      <c r="F40" s="19">
        <f t="shared" si="6"/>
        <v>1739</v>
      </c>
      <c r="G40" s="19">
        <f t="shared" si="6"/>
        <v>1916</v>
      </c>
      <c r="H40" s="19">
        <f t="shared" si="6"/>
        <v>2672</v>
      </c>
      <c r="I40" s="19">
        <f t="shared" si="6"/>
        <v>1946</v>
      </c>
      <c r="J40" s="19">
        <f t="shared" si="6"/>
        <v>1780</v>
      </c>
      <c r="K40" s="19">
        <f t="shared" si="6"/>
        <v>1252</v>
      </c>
      <c r="L40" s="19">
        <f t="shared" si="6"/>
        <v>1385</v>
      </c>
      <c r="M40" s="19">
        <f t="shared" si="6"/>
        <v>928</v>
      </c>
      <c r="N40" s="19">
        <f t="shared" si="6"/>
        <v>662</v>
      </c>
      <c r="O40" s="19">
        <f t="shared" si="6"/>
        <v>1108</v>
      </c>
      <c r="P40" s="19">
        <f t="shared" si="6"/>
        <v>1512</v>
      </c>
      <c r="Q40" s="19">
        <f t="shared" si="6"/>
        <v>1352</v>
      </c>
      <c r="R40" s="19">
        <f t="shared" si="6"/>
        <v>2012</v>
      </c>
      <c r="S40" s="19">
        <f t="shared" si="6"/>
        <v>1464</v>
      </c>
      <c r="T40" s="19">
        <f t="shared" si="6"/>
        <v>1828</v>
      </c>
      <c r="U40" s="19">
        <f t="shared" si="6"/>
        <v>1684</v>
      </c>
      <c r="V40" s="19">
        <f t="shared" si="6"/>
        <v>1282</v>
      </c>
      <c r="W40" s="19">
        <f t="shared" si="6"/>
        <v>944</v>
      </c>
      <c r="X40" s="19">
        <f t="shared" si="6"/>
        <v>961</v>
      </c>
      <c r="Y40" s="19">
        <f t="shared" si="6"/>
        <v>835</v>
      </c>
      <c r="Z40" s="19">
        <f t="shared" si="6"/>
        <v>573</v>
      </c>
      <c r="AA40" s="19">
        <f t="shared" si="6"/>
        <v>863</v>
      </c>
      <c r="AB40" s="19">
        <f t="shared" si="6"/>
        <v>1290</v>
      </c>
      <c r="AC40" s="19">
        <f t="shared" si="6"/>
        <v>1160</v>
      </c>
      <c r="AD40" s="19">
        <f t="shared" si="6"/>
        <v>1438</v>
      </c>
      <c r="AE40" s="19">
        <f t="shared" si="5"/>
        <v>1821</v>
      </c>
      <c r="AF40" s="19">
        <f t="shared" si="5"/>
        <v>1777</v>
      </c>
      <c r="AG40" s="19">
        <f t="shared" si="2"/>
        <v>1117</v>
      </c>
      <c r="AH40" s="19">
        <f t="shared" si="2"/>
        <v>907</v>
      </c>
      <c r="AI40" s="19">
        <f t="shared" si="3"/>
        <v>1076</v>
      </c>
      <c r="AJ40" s="19">
        <f t="shared" si="3"/>
        <v>1086</v>
      </c>
    </row>
    <row r="41" spans="2:36" ht="25.5">
      <c r="B41" s="18" t="s">
        <v>40</v>
      </c>
      <c r="C41" s="19" t="s">
        <v>113</v>
      </c>
      <c r="D41" s="19">
        <f t="shared" si="6"/>
        <v>5111</v>
      </c>
      <c r="E41" s="19">
        <f t="shared" si="6"/>
        <v>4729</v>
      </c>
      <c r="F41" s="19">
        <f t="shared" si="6"/>
        <v>6105</v>
      </c>
      <c r="G41" s="19">
        <f t="shared" si="6"/>
        <v>6588</v>
      </c>
      <c r="H41" s="19">
        <f t="shared" si="6"/>
        <v>9693</v>
      </c>
      <c r="I41" s="19">
        <f t="shared" si="6"/>
        <v>7405</v>
      </c>
      <c r="J41" s="19">
        <f t="shared" si="6"/>
        <v>5488</v>
      </c>
      <c r="K41" s="19">
        <f t="shared" si="6"/>
        <v>4301</v>
      </c>
      <c r="L41" s="19">
        <f t="shared" si="6"/>
        <v>3869</v>
      </c>
      <c r="M41" s="19">
        <f t="shared" si="6"/>
        <v>2691</v>
      </c>
      <c r="N41" s="19">
        <f t="shared" si="6"/>
        <v>2348</v>
      </c>
      <c r="O41" s="19">
        <f t="shared" si="6"/>
        <v>4561</v>
      </c>
      <c r="P41" s="19">
        <f t="shared" si="6"/>
        <v>6380</v>
      </c>
      <c r="Q41" s="19">
        <f t="shared" si="6"/>
        <v>5058</v>
      </c>
      <c r="R41" s="19">
        <f t="shared" si="6"/>
        <v>7046</v>
      </c>
      <c r="S41" s="19">
        <f t="shared" si="6"/>
        <v>6155</v>
      </c>
      <c r="T41" s="19">
        <f t="shared" si="6"/>
        <v>6522</v>
      </c>
      <c r="U41" s="19">
        <f t="shared" si="6"/>
        <v>5932</v>
      </c>
      <c r="V41" s="19">
        <f t="shared" si="6"/>
        <v>4791</v>
      </c>
      <c r="W41" s="19">
        <f t="shared" si="6"/>
        <v>4111</v>
      </c>
      <c r="X41" s="19">
        <f t="shared" si="6"/>
        <v>3732</v>
      </c>
      <c r="Y41" s="19">
        <f t="shared" si="6"/>
        <v>2523</v>
      </c>
      <c r="Z41" s="19">
        <f t="shared" si="6"/>
        <v>2433</v>
      </c>
      <c r="AA41" s="19">
        <f t="shared" si="6"/>
        <v>3472</v>
      </c>
      <c r="AB41" s="19">
        <f t="shared" si="6"/>
        <v>5953</v>
      </c>
      <c r="AC41" s="19">
        <f t="shared" si="6"/>
        <v>5202</v>
      </c>
      <c r="AD41" s="19">
        <f t="shared" si="6"/>
        <v>6031</v>
      </c>
      <c r="AE41" s="19">
        <f t="shared" si="5"/>
        <v>8592</v>
      </c>
      <c r="AF41" s="19">
        <f t="shared" si="5"/>
        <v>8073</v>
      </c>
      <c r="AG41" s="19">
        <f t="shared" si="2"/>
        <v>4964</v>
      </c>
      <c r="AH41" s="19">
        <f t="shared" si="2"/>
        <v>4167</v>
      </c>
      <c r="AI41" s="19">
        <f t="shared" si="3"/>
        <v>4057</v>
      </c>
      <c r="AJ41" s="19">
        <f t="shared" si="3"/>
        <v>3897</v>
      </c>
    </row>
    <row r="42" spans="2:36" ht="12.75">
      <c r="B42" s="18" t="s">
        <v>41</v>
      </c>
      <c r="C42" s="19" t="s">
        <v>113</v>
      </c>
      <c r="D42" s="19">
        <f t="shared" si="6"/>
        <v>3392</v>
      </c>
      <c r="E42" s="19">
        <f t="shared" si="6"/>
        <v>3221</v>
      </c>
      <c r="F42" s="19">
        <f t="shared" si="6"/>
        <v>3625</v>
      </c>
      <c r="G42" s="19">
        <f t="shared" si="6"/>
        <v>3789</v>
      </c>
      <c r="H42" s="19">
        <f t="shared" si="6"/>
        <v>4540</v>
      </c>
      <c r="I42" s="19">
        <f t="shared" si="6"/>
        <v>3840</v>
      </c>
      <c r="J42" s="19">
        <f t="shared" si="6"/>
        <v>3253</v>
      </c>
      <c r="K42" s="19">
        <f t="shared" si="6"/>
        <v>2744</v>
      </c>
      <c r="L42" s="19">
        <f t="shared" si="6"/>
        <v>2589</v>
      </c>
      <c r="M42" s="19">
        <f t="shared" si="6"/>
        <v>1918</v>
      </c>
      <c r="N42" s="19">
        <f t="shared" si="6"/>
        <v>1638</v>
      </c>
      <c r="O42" s="19">
        <f t="shared" si="6"/>
        <v>2513</v>
      </c>
      <c r="P42" s="19">
        <f t="shared" si="6"/>
        <v>2848</v>
      </c>
      <c r="Q42" s="19">
        <f t="shared" si="6"/>
        <v>2360</v>
      </c>
      <c r="R42" s="19">
        <f t="shared" si="6"/>
        <v>3022</v>
      </c>
      <c r="S42" s="19">
        <f t="shared" si="6"/>
        <v>2804</v>
      </c>
      <c r="T42" s="19">
        <f t="shared" si="6"/>
        <v>3049</v>
      </c>
      <c r="U42" s="19">
        <f t="shared" si="6"/>
        <v>2909</v>
      </c>
      <c r="V42" s="19">
        <f t="shared" si="6"/>
        <v>2216</v>
      </c>
      <c r="W42" s="19">
        <f t="shared" si="6"/>
        <v>2038</v>
      </c>
      <c r="X42" s="19">
        <f t="shared" si="6"/>
        <v>2012</v>
      </c>
      <c r="Y42" s="19">
        <f t="shared" si="6"/>
        <v>1625</v>
      </c>
      <c r="Z42" s="19">
        <f t="shared" si="6"/>
        <v>1501</v>
      </c>
      <c r="AA42" s="19">
        <f t="shared" si="6"/>
        <v>1964</v>
      </c>
      <c r="AB42" s="19">
        <f t="shared" si="6"/>
        <v>2823</v>
      </c>
      <c r="AC42" s="19">
        <f t="shared" si="6"/>
        <v>2602</v>
      </c>
      <c r="AD42" s="19">
        <f t="shared" si="6"/>
        <v>2799</v>
      </c>
      <c r="AE42" s="19">
        <f t="shared" si="5"/>
        <v>3432</v>
      </c>
      <c r="AF42" s="19">
        <f t="shared" si="5"/>
        <v>3139</v>
      </c>
      <c r="AG42" s="19">
        <f t="shared" si="2"/>
        <v>2346</v>
      </c>
      <c r="AH42" s="19">
        <f t="shared" si="2"/>
        <v>1958</v>
      </c>
      <c r="AI42" s="19">
        <f t="shared" si="3"/>
        <v>1954</v>
      </c>
      <c r="AJ42" s="19">
        <f t="shared" si="3"/>
        <v>2057</v>
      </c>
    </row>
    <row r="43" spans="2:36" ht="12.75">
      <c r="B43" s="18" t="s">
        <v>42</v>
      </c>
      <c r="C43" s="19" t="s">
        <v>113</v>
      </c>
      <c r="D43" s="19">
        <f t="shared" si="6"/>
        <v>2946</v>
      </c>
      <c r="E43" s="19">
        <f t="shared" si="6"/>
        <v>2538</v>
      </c>
      <c r="F43" s="19">
        <f t="shared" si="6"/>
        <v>3207</v>
      </c>
      <c r="G43" s="19">
        <f t="shared" si="6"/>
        <v>3241</v>
      </c>
      <c r="H43" s="19">
        <f t="shared" si="6"/>
        <v>3900</v>
      </c>
      <c r="I43" s="19">
        <f t="shared" si="6"/>
        <v>3182</v>
      </c>
      <c r="J43" s="19">
        <f t="shared" si="6"/>
        <v>2089</v>
      </c>
      <c r="K43" s="19">
        <f t="shared" si="6"/>
        <v>1664</v>
      </c>
      <c r="L43" s="19">
        <f t="shared" si="6"/>
        <v>1274</v>
      </c>
      <c r="M43" s="19">
        <f t="shared" si="6"/>
        <v>764</v>
      </c>
      <c r="N43" s="19">
        <f t="shared" si="6"/>
        <v>712</v>
      </c>
      <c r="O43" s="19">
        <f t="shared" si="6"/>
        <v>1238</v>
      </c>
      <c r="P43" s="19">
        <f t="shared" si="6"/>
        <v>1916</v>
      </c>
      <c r="Q43" s="19">
        <f t="shared" si="6"/>
        <v>1546</v>
      </c>
      <c r="R43" s="19">
        <f t="shared" si="6"/>
        <v>2186</v>
      </c>
      <c r="S43" s="19">
        <f t="shared" si="6"/>
        <v>2089</v>
      </c>
      <c r="T43" s="19">
        <f t="shared" si="6"/>
        <v>1979</v>
      </c>
      <c r="U43" s="19">
        <f t="shared" si="6"/>
        <v>2060</v>
      </c>
      <c r="V43" s="19">
        <f t="shared" si="6"/>
        <v>1371</v>
      </c>
      <c r="W43" s="19">
        <f t="shared" si="6"/>
        <v>1235</v>
      </c>
      <c r="X43" s="19">
        <f t="shared" si="6"/>
        <v>1295</v>
      </c>
      <c r="Y43" s="19">
        <f t="shared" si="6"/>
        <v>753</v>
      </c>
      <c r="Z43" s="19">
        <f t="shared" si="6"/>
        <v>813</v>
      </c>
      <c r="AA43" s="19">
        <f t="shared" si="6"/>
        <v>1210</v>
      </c>
      <c r="AB43" s="19">
        <f t="shared" si="6"/>
        <v>2326</v>
      </c>
      <c r="AC43" s="19">
        <f t="shared" si="6"/>
        <v>2111</v>
      </c>
      <c r="AD43" s="19">
        <f t="shared" si="6"/>
        <v>2253</v>
      </c>
      <c r="AE43" s="19">
        <f t="shared" si="5"/>
        <v>3389</v>
      </c>
      <c r="AF43" s="19">
        <f t="shared" si="5"/>
        <v>2720</v>
      </c>
      <c r="AG43" s="19">
        <f t="shared" si="2"/>
        <v>1696</v>
      </c>
      <c r="AH43" s="19">
        <f t="shared" si="2"/>
        <v>1143</v>
      </c>
      <c r="AI43" s="19">
        <f t="shared" si="3"/>
        <v>675</v>
      </c>
      <c r="AJ43" s="19">
        <f t="shared" si="3"/>
        <v>567</v>
      </c>
    </row>
    <row r="44" spans="2:36" ht="12.75">
      <c r="B44" s="18" t="s">
        <v>43</v>
      </c>
      <c r="C44" s="19" t="s">
        <v>113</v>
      </c>
      <c r="D44" s="19">
        <f t="shared" si="6"/>
        <v>1180</v>
      </c>
      <c r="E44" s="19">
        <f t="shared" si="6"/>
        <v>1131</v>
      </c>
      <c r="F44" s="19">
        <f t="shared" si="6"/>
        <v>1206</v>
      </c>
      <c r="G44" s="19">
        <f t="shared" si="6"/>
        <v>1132</v>
      </c>
      <c r="H44" s="19">
        <f t="shared" si="6"/>
        <v>1084</v>
      </c>
      <c r="I44" s="19">
        <f t="shared" si="6"/>
        <v>1317</v>
      </c>
      <c r="J44" s="19">
        <f t="shared" si="6"/>
        <v>1123</v>
      </c>
      <c r="K44" s="19">
        <f t="shared" si="6"/>
        <v>1120</v>
      </c>
      <c r="L44" s="19">
        <f t="shared" si="6"/>
        <v>1024</v>
      </c>
      <c r="M44" s="19">
        <f t="shared" si="6"/>
        <v>949</v>
      </c>
      <c r="N44" s="19">
        <f t="shared" si="6"/>
        <v>948</v>
      </c>
      <c r="O44" s="19">
        <f t="shared" si="6"/>
        <v>1196</v>
      </c>
      <c r="P44" s="19">
        <f t="shared" si="6"/>
        <v>1103</v>
      </c>
      <c r="Q44" s="19">
        <f t="shared" si="6"/>
        <v>1209</v>
      </c>
      <c r="R44" s="19">
        <f t="shared" si="6"/>
        <v>1173</v>
      </c>
      <c r="S44" s="19">
        <f t="shared" si="6"/>
        <v>1145</v>
      </c>
      <c r="T44" s="19">
        <f t="shared" si="6"/>
        <v>1081</v>
      </c>
      <c r="U44" s="19">
        <f t="shared" si="6"/>
        <v>1406</v>
      </c>
      <c r="V44" s="19">
        <f t="shared" si="6"/>
        <v>1067</v>
      </c>
      <c r="W44" s="19">
        <f t="shared" si="6"/>
        <v>1114</v>
      </c>
      <c r="X44" s="19">
        <f t="shared" si="6"/>
        <v>1108</v>
      </c>
      <c r="Y44" s="19">
        <f t="shared" si="6"/>
        <v>960</v>
      </c>
      <c r="Z44" s="19">
        <f t="shared" si="6"/>
        <v>1053</v>
      </c>
      <c r="AA44" s="19">
        <f t="shared" si="6"/>
        <v>1216</v>
      </c>
      <c r="AB44" s="19">
        <f t="shared" si="6"/>
        <v>1377</v>
      </c>
      <c r="AC44" s="19">
        <f t="shared" si="6"/>
        <v>1270</v>
      </c>
      <c r="AD44" s="19">
        <f t="shared" si="6"/>
        <v>1085</v>
      </c>
      <c r="AE44" s="19">
        <f t="shared" si="5"/>
        <v>1478</v>
      </c>
      <c r="AF44" s="19">
        <f t="shared" si="5"/>
        <v>1241</v>
      </c>
      <c r="AG44" s="19">
        <f t="shared" si="2"/>
        <v>1300</v>
      </c>
      <c r="AH44" s="19">
        <f t="shared" si="2"/>
        <v>1082</v>
      </c>
      <c r="AI44" s="19">
        <f t="shared" si="3"/>
        <v>1284</v>
      </c>
      <c r="AJ44" s="19">
        <f t="shared" si="3"/>
        <v>1223</v>
      </c>
    </row>
    <row r="45" spans="2:36" ht="12.75">
      <c r="B45" s="18" t="s">
        <v>44</v>
      </c>
      <c r="C45" s="19" t="s">
        <v>113</v>
      </c>
      <c r="D45" s="19">
        <f t="shared" si="6"/>
        <v>912</v>
      </c>
      <c r="E45" s="19">
        <f t="shared" si="6"/>
        <v>935</v>
      </c>
      <c r="F45" s="19">
        <f t="shared" si="6"/>
        <v>1075</v>
      </c>
      <c r="G45" s="19">
        <f t="shared" si="6"/>
        <v>1251</v>
      </c>
      <c r="H45" s="19">
        <f t="shared" si="6"/>
        <v>1455</v>
      </c>
      <c r="I45" s="19">
        <f t="shared" si="6"/>
        <v>1452</v>
      </c>
      <c r="J45" s="19">
        <f t="shared" si="6"/>
        <v>1012</v>
      </c>
      <c r="K45" s="19">
        <f t="shared" si="6"/>
        <v>881</v>
      </c>
      <c r="L45" s="19">
        <f t="shared" si="6"/>
        <v>642</v>
      </c>
      <c r="M45" s="19">
        <f t="shared" si="6"/>
        <v>470</v>
      </c>
      <c r="N45" s="19">
        <f t="shared" si="6"/>
        <v>428</v>
      </c>
      <c r="O45" s="19">
        <f t="shared" si="6"/>
        <v>677</v>
      </c>
      <c r="P45" s="19">
        <f t="shared" si="6"/>
        <v>871</v>
      </c>
      <c r="Q45" s="19">
        <f t="shared" si="6"/>
        <v>808</v>
      </c>
      <c r="R45" s="19">
        <f t="shared" si="6"/>
        <v>1097</v>
      </c>
      <c r="S45" s="19">
        <f t="shared" si="6"/>
        <v>1260</v>
      </c>
      <c r="T45" s="19">
        <f t="shared" si="6"/>
        <v>1126</v>
      </c>
      <c r="U45" s="19">
        <f t="shared" si="6"/>
        <v>1270</v>
      </c>
      <c r="V45" s="19">
        <f t="shared" si="6"/>
        <v>850</v>
      </c>
      <c r="W45" s="19">
        <f t="shared" si="6"/>
        <v>790</v>
      </c>
      <c r="X45" s="19">
        <f t="shared" si="6"/>
        <v>761</v>
      </c>
      <c r="Y45" s="19">
        <f t="shared" si="6"/>
        <v>515</v>
      </c>
      <c r="Z45" s="19">
        <f t="shared" si="6"/>
        <v>553</v>
      </c>
      <c r="AA45" s="19">
        <f t="shared" si="6"/>
        <v>778</v>
      </c>
      <c r="AB45" s="19">
        <f t="shared" si="6"/>
        <v>1221</v>
      </c>
      <c r="AC45" s="19">
        <f t="shared" si="6"/>
        <v>1113</v>
      </c>
      <c r="AD45" s="19">
        <f t="shared" si="6"/>
        <v>1205</v>
      </c>
      <c r="AE45" s="19">
        <f t="shared" si="5"/>
        <v>2001</v>
      </c>
      <c r="AF45" s="19">
        <f t="shared" si="5"/>
        <v>1731</v>
      </c>
      <c r="AG45" s="19">
        <f t="shared" si="2"/>
        <v>1375</v>
      </c>
      <c r="AH45" s="19">
        <f t="shared" si="2"/>
        <v>1041</v>
      </c>
      <c r="AI45" s="19">
        <f t="shared" si="3"/>
        <v>973</v>
      </c>
      <c r="AJ45" s="19">
        <f t="shared" si="3"/>
        <v>867</v>
      </c>
    </row>
    <row r="46" spans="2:36" ht="12.75">
      <c r="B46" s="18" t="s">
        <v>45</v>
      </c>
      <c r="C46" s="19" t="s">
        <v>113</v>
      </c>
      <c r="D46" s="19">
        <f t="shared" si="6"/>
        <v>1110</v>
      </c>
      <c r="E46" s="19">
        <f t="shared" si="6"/>
        <v>1156</v>
      </c>
      <c r="F46" s="19">
        <f t="shared" si="6"/>
        <v>1385</v>
      </c>
      <c r="G46" s="19">
        <f t="shared" si="6"/>
        <v>1364</v>
      </c>
      <c r="H46" s="19">
        <f t="shared" si="6"/>
        <v>1770</v>
      </c>
      <c r="I46" s="19">
        <f t="shared" si="6"/>
        <v>1714</v>
      </c>
      <c r="J46" s="19">
        <f t="shared" si="6"/>
        <v>1224</v>
      </c>
      <c r="K46" s="19">
        <f t="shared" si="6"/>
        <v>892</v>
      </c>
      <c r="L46" s="19">
        <f t="shared" si="6"/>
        <v>655</v>
      </c>
      <c r="M46" s="19">
        <f t="shared" si="6"/>
        <v>371</v>
      </c>
      <c r="N46" s="19">
        <f t="shared" si="6"/>
        <v>359</v>
      </c>
      <c r="O46" s="19">
        <f t="shared" si="6"/>
        <v>689</v>
      </c>
      <c r="P46" s="19">
        <f aca="true" t="shared" si="7" ref="P46:AD46">IF(ISERROR(P21),0,P21)</f>
        <v>913</v>
      </c>
      <c r="Q46" s="19">
        <f t="shared" si="7"/>
        <v>905</v>
      </c>
      <c r="R46" s="19">
        <f t="shared" si="7"/>
        <v>1169</v>
      </c>
      <c r="S46" s="19">
        <f t="shared" si="7"/>
        <v>1143</v>
      </c>
      <c r="T46" s="19">
        <f t="shared" si="7"/>
        <v>1185</v>
      </c>
      <c r="U46" s="19">
        <f t="shared" si="7"/>
        <v>1266</v>
      </c>
      <c r="V46" s="19">
        <f t="shared" si="7"/>
        <v>810</v>
      </c>
      <c r="W46" s="19">
        <f t="shared" si="7"/>
        <v>751</v>
      </c>
      <c r="X46" s="19">
        <f t="shared" si="7"/>
        <v>640</v>
      </c>
      <c r="Y46" s="19">
        <f t="shared" si="7"/>
        <v>350</v>
      </c>
      <c r="Z46" s="19">
        <f t="shared" si="7"/>
        <v>346</v>
      </c>
      <c r="AA46" s="19">
        <f t="shared" si="7"/>
        <v>690</v>
      </c>
      <c r="AB46" s="19">
        <f t="shared" si="7"/>
        <v>1124</v>
      </c>
      <c r="AC46" s="19">
        <f t="shared" si="7"/>
        <v>987</v>
      </c>
      <c r="AD46" s="19">
        <f t="shared" si="7"/>
        <v>1155</v>
      </c>
      <c r="AE46" s="19">
        <f aca="true" t="shared" si="8" ref="AE46:AF48">IF(ISERROR(AE21),0,AE21)</f>
        <v>1751</v>
      </c>
      <c r="AF46" s="19">
        <f t="shared" si="8"/>
        <v>1663</v>
      </c>
      <c r="AG46" s="19">
        <f t="shared" si="2"/>
        <v>1245</v>
      </c>
      <c r="AH46" s="19">
        <f t="shared" si="2"/>
        <v>966</v>
      </c>
      <c r="AI46" s="19">
        <f t="shared" si="3"/>
        <v>817</v>
      </c>
      <c r="AJ46" s="19">
        <f t="shared" si="3"/>
        <v>618</v>
      </c>
    </row>
    <row r="47" spans="2:36" ht="12.75">
      <c r="B47" s="18" t="s">
        <v>46</v>
      </c>
      <c r="C47" s="19" t="s">
        <v>113</v>
      </c>
      <c r="D47" s="19">
        <f aca="true" t="shared" si="9" ref="D47:AD48">IF(ISERROR(D22),0,D22)</f>
        <v>2801</v>
      </c>
      <c r="E47" s="19">
        <f t="shared" si="9"/>
        <v>2637</v>
      </c>
      <c r="F47" s="19">
        <f t="shared" si="9"/>
        <v>2676</v>
      </c>
      <c r="G47" s="19">
        <f t="shared" si="9"/>
        <v>2946</v>
      </c>
      <c r="H47" s="19">
        <f t="shared" si="9"/>
        <v>3094</v>
      </c>
      <c r="I47" s="19">
        <f t="shared" si="9"/>
        <v>3157</v>
      </c>
      <c r="J47" s="19">
        <f t="shared" si="9"/>
        <v>2624</v>
      </c>
      <c r="K47" s="19">
        <f t="shared" si="9"/>
        <v>2511</v>
      </c>
      <c r="L47" s="19">
        <f t="shared" si="9"/>
        <v>2575</v>
      </c>
      <c r="M47" s="19">
        <f t="shared" si="9"/>
        <v>2264</v>
      </c>
      <c r="N47" s="19">
        <f t="shared" si="9"/>
        <v>2237</v>
      </c>
      <c r="O47" s="19">
        <f t="shared" si="9"/>
        <v>2518</v>
      </c>
      <c r="P47" s="19">
        <f t="shared" si="9"/>
        <v>2564</v>
      </c>
      <c r="Q47" s="19">
        <f t="shared" si="9"/>
        <v>2367</v>
      </c>
      <c r="R47" s="19">
        <f t="shared" si="9"/>
        <v>2772</v>
      </c>
      <c r="S47" s="19">
        <f t="shared" si="9"/>
        <v>2710</v>
      </c>
      <c r="T47" s="19">
        <f t="shared" si="9"/>
        <v>2735</v>
      </c>
      <c r="U47" s="19">
        <f t="shared" si="9"/>
        <v>2936</v>
      </c>
      <c r="V47" s="19">
        <f t="shared" si="9"/>
        <v>2245</v>
      </c>
      <c r="W47" s="19">
        <f t="shared" si="9"/>
        <v>2239</v>
      </c>
      <c r="X47" s="19">
        <f t="shared" si="9"/>
        <v>2305</v>
      </c>
      <c r="Y47" s="19">
        <f t="shared" si="9"/>
        <v>2074</v>
      </c>
      <c r="Z47" s="19">
        <f t="shared" si="9"/>
        <v>2250</v>
      </c>
      <c r="AA47" s="19">
        <f t="shared" si="9"/>
        <v>2301</v>
      </c>
      <c r="AB47" s="19">
        <f t="shared" si="9"/>
        <v>2850</v>
      </c>
      <c r="AC47" s="19">
        <f t="shared" si="9"/>
        <v>2579</v>
      </c>
      <c r="AD47" s="19">
        <f t="shared" si="9"/>
        <v>2476</v>
      </c>
      <c r="AE47" s="19">
        <f t="shared" si="8"/>
        <v>3480</v>
      </c>
      <c r="AF47" s="19">
        <f t="shared" si="8"/>
        <v>3106</v>
      </c>
      <c r="AG47" s="19">
        <f t="shared" si="2"/>
        <v>2676</v>
      </c>
      <c r="AH47" s="19">
        <f t="shared" si="2"/>
        <v>2232</v>
      </c>
      <c r="AI47" s="19">
        <f t="shared" si="3"/>
        <v>2630</v>
      </c>
      <c r="AJ47" s="19">
        <f t="shared" si="3"/>
        <v>2410</v>
      </c>
    </row>
    <row r="48" spans="2:36" ht="13.5" thickBot="1">
      <c r="B48" s="20" t="s">
        <v>47</v>
      </c>
      <c r="C48" s="21" t="s">
        <v>113</v>
      </c>
      <c r="D48" s="21">
        <f t="shared" si="9"/>
        <v>1167</v>
      </c>
      <c r="E48" s="21">
        <f t="shared" si="9"/>
        <v>1077</v>
      </c>
      <c r="F48" s="21">
        <f t="shared" si="9"/>
        <v>993</v>
      </c>
      <c r="G48" s="21">
        <f t="shared" si="9"/>
        <v>971</v>
      </c>
      <c r="H48" s="21">
        <f t="shared" si="9"/>
        <v>842</v>
      </c>
      <c r="I48" s="21">
        <f t="shared" si="9"/>
        <v>1008</v>
      </c>
      <c r="J48" s="21">
        <f t="shared" si="9"/>
        <v>993</v>
      </c>
      <c r="K48" s="21">
        <f t="shared" si="9"/>
        <v>1027</v>
      </c>
      <c r="L48" s="21">
        <f t="shared" si="9"/>
        <v>1274</v>
      </c>
      <c r="M48" s="21">
        <f t="shared" si="9"/>
        <v>1148</v>
      </c>
      <c r="N48" s="21">
        <f t="shared" si="9"/>
        <v>1098</v>
      </c>
      <c r="O48" s="21">
        <f t="shared" si="9"/>
        <v>1311</v>
      </c>
      <c r="P48" s="21">
        <f t="shared" si="9"/>
        <v>980</v>
      </c>
      <c r="Q48" s="21">
        <f t="shared" si="9"/>
        <v>990</v>
      </c>
      <c r="R48" s="21">
        <f t="shared" si="9"/>
        <v>872</v>
      </c>
      <c r="S48" s="21">
        <f t="shared" si="9"/>
        <v>811</v>
      </c>
      <c r="T48" s="21">
        <f t="shared" si="9"/>
        <v>784</v>
      </c>
      <c r="U48" s="21">
        <f t="shared" si="9"/>
        <v>1113</v>
      </c>
      <c r="V48" s="21">
        <f t="shared" si="9"/>
        <v>804</v>
      </c>
      <c r="W48" s="21">
        <f t="shared" si="9"/>
        <v>902</v>
      </c>
      <c r="X48" s="21">
        <f t="shared" si="9"/>
        <v>1050</v>
      </c>
      <c r="Y48" s="21">
        <f t="shared" si="9"/>
        <v>1154</v>
      </c>
      <c r="Z48" s="21">
        <f t="shared" si="9"/>
        <v>1183</v>
      </c>
      <c r="AA48" s="21">
        <f t="shared" si="9"/>
        <v>1166</v>
      </c>
      <c r="AB48" s="21">
        <f t="shared" si="9"/>
        <v>1155</v>
      </c>
      <c r="AC48" s="21">
        <f t="shared" si="9"/>
        <v>974</v>
      </c>
      <c r="AD48" s="21">
        <f t="shared" si="9"/>
        <v>836</v>
      </c>
      <c r="AE48" s="21">
        <f t="shared" si="8"/>
        <v>875</v>
      </c>
      <c r="AF48" s="21">
        <f t="shared" si="8"/>
        <v>751</v>
      </c>
      <c r="AG48" s="21">
        <f t="shared" si="2"/>
        <v>911</v>
      </c>
      <c r="AH48" s="21">
        <f t="shared" si="2"/>
        <v>756</v>
      </c>
      <c r="AI48" s="21">
        <f t="shared" si="3"/>
        <v>976</v>
      </c>
      <c r="AJ48" s="21">
        <f t="shared" si="3"/>
        <v>938</v>
      </c>
    </row>
    <row r="49" spans="2:36" ht="13.5" thickTop="1">
      <c r="B49" s="22" t="s">
        <v>64</v>
      </c>
      <c r="C49" s="23" t="s">
        <v>113</v>
      </c>
      <c r="D49" s="24">
        <f aca="true" t="shared" si="10" ref="D49:AJ49">SUM(D27:D48)</f>
        <v>62895</v>
      </c>
      <c r="E49" s="24">
        <f t="shared" si="10"/>
        <v>57650</v>
      </c>
      <c r="F49" s="24">
        <f t="shared" si="10"/>
        <v>70477</v>
      </c>
      <c r="G49" s="24">
        <f t="shared" si="10"/>
        <v>76616</v>
      </c>
      <c r="H49" s="24">
        <f t="shared" si="10"/>
        <v>98613</v>
      </c>
      <c r="I49" s="24">
        <f t="shared" si="10"/>
        <v>81698</v>
      </c>
      <c r="J49" s="24">
        <f t="shared" si="10"/>
        <v>66382</v>
      </c>
      <c r="K49" s="24">
        <f t="shared" si="10"/>
        <v>52799</v>
      </c>
      <c r="L49" s="24">
        <f t="shared" si="10"/>
        <v>50647</v>
      </c>
      <c r="M49" s="24">
        <f t="shared" si="10"/>
        <v>38338</v>
      </c>
      <c r="N49" s="24">
        <f t="shared" si="10"/>
        <v>33009</v>
      </c>
      <c r="O49" s="24">
        <f t="shared" si="10"/>
        <v>49525</v>
      </c>
      <c r="P49" s="24">
        <f t="shared" si="10"/>
        <v>60740</v>
      </c>
      <c r="Q49" s="24">
        <f t="shared" si="10"/>
        <v>54814</v>
      </c>
      <c r="R49" s="24">
        <f t="shared" si="10"/>
        <v>75430</v>
      </c>
      <c r="S49" s="24">
        <f t="shared" si="10"/>
        <v>68355</v>
      </c>
      <c r="T49" s="24">
        <f t="shared" si="10"/>
        <v>74562</v>
      </c>
      <c r="U49" s="24">
        <f t="shared" si="10"/>
        <v>70840</v>
      </c>
      <c r="V49" s="24">
        <f t="shared" si="10"/>
        <v>56266</v>
      </c>
      <c r="W49" s="24">
        <f t="shared" si="10"/>
        <v>48554</v>
      </c>
      <c r="X49" s="24">
        <f t="shared" si="10"/>
        <v>47938</v>
      </c>
      <c r="Y49" s="24">
        <f t="shared" si="10"/>
        <v>38919</v>
      </c>
      <c r="Z49" s="24">
        <f t="shared" si="10"/>
        <v>36502</v>
      </c>
      <c r="AA49" s="24">
        <f t="shared" si="10"/>
        <v>45854</v>
      </c>
      <c r="AB49" s="24">
        <f t="shared" si="10"/>
        <v>67100</v>
      </c>
      <c r="AC49" s="24">
        <f t="shared" si="10"/>
        <v>59335</v>
      </c>
      <c r="AD49" s="24">
        <f t="shared" si="10"/>
        <v>66708</v>
      </c>
      <c r="AE49" s="24">
        <f t="shared" si="10"/>
        <v>93608</v>
      </c>
      <c r="AF49" s="24">
        <f t="shared" si="10"/>
        <v>86321</v>
      </c>
      <c r="AG49" s="24">
        <f t="shared" si="10"/>
        <v>61406</v>
      </c>
      <c r="AH49" s="24">
        <f t="shared" si="10"/>
        <v>50526</v>
      </c>
      <c r="AI49" s="24">
        <f t="shared" si="10"/>
        <v>53511</v>
      </c>
      <c r="AJ49" s="24">
        <f t="shared" si="10"/>
        <v>50041</v>
      </c>
    </row>
    <row r="50" spans="2:36" ht="12.75">
      <c r="B50" s="25" t="s">
        <v>65</v>
      </c>
      <c r="C50" s="19" t="s">
        <v>113</v>
      </c>
      <c r="D50" s="26">
        <f aca="true" t="shared" si="11" ref="D50:AD50">SUM(D27:D30)</f>
        <v>21447</v>
      </c>
      <c r="E50" s="26">
        <f t="shared" si="11"/>
        <v>19901</v>
      </c>
      <c r="F50" s="26">
        <f t="shared" si="11"/>
        <v>23740</v>
      </c>
      <c r="G50" s="26">
        <f t="shared" si="11"/>
        <v>25887</v>
      </c>
      <c r="H50" s="26">
        <f t="shared" si="11"/>
        <v>33250</v>
      </c>
      <c r="I50" s="26">
        <f t="shared" si="11"/>
        <v>27440</v>
      </c>
      <c r="J50" s="26">
        <f t="shared" si="11"/>
        <v>23280</v>
      </c>
      <c r="K50" s="26">
        <f t="shared" si="11"/>
        <v>19295</v>
      </c>
      <c r="L50" s="26">
        <f t="shared" si="11"/>
        <v>19383</v>
      </c>
      <c r="M50" s="26">
        <f t="shared" si="11"/>
        <v>15763</v>
      </c>
      <c r="N50" s="26">
        <f t="shared" si="11"/>
        <v>13407</v>
      </c>
      <c r="O50" s="26">
        <f t="shared" si="11"/>
        <v>18982</v>
      </c>
      <c r="P50" s="26">
        <f t="shared" si="11"/>
        <v>22958</v>
      </c>
      <c r="Q50" s="26">
        <f t="shared" si="11"/>
        <v>22070</v>
      </c>
      <c r="R50" s="26">
        <f t="shared" si="11"/>
        <v>30605</v>
      </c>
      <c r="S50" s="26">
        <f t="shared" si="11"/>
        <v>27149</v>
      </c>
      <c r="T50" s="26">
        <f t="shared" si="11"/>
        <v>29831</v>
      </c>
      <c r="U50" s="26">
        <f t="shared" si="11"/>
        <v>27964</v>
      </c>
      <c r="V50" s="26">
        <f t="shared" si="11"/>
        <v>23353</v>
      </c>
      <c r="W50" s="26">
        <f t="shared" si="11"/>
        <v>20396</v>
      </c>
      <c r="X50" s="26">
        <f t="shared" si="11"/>
        <v>20794</v>
      </c>
      <c r="Y50" s="26">
        <f t="shared" si="11"/>
        <v>17301</v>
      </c>
      <c r="Z50" s="26">
        <f t="shared" si="11"/>
        <v>15981</v>
      </c>
      <c r="AA50" s="26">
        <f t="shared" si="11"/>
        <v>19312</v>
      </c>
      <c r="AB50" s="26">
        <f t="shared" si="11"/>
        <v>27260</v>
      </c>
      <c r="AC50" s="26">
        <f t="shared" si="11"/>
        <v>23979</v>
      </c>
      <c r="AD50" s="26">
        <f t="shared" si="11"/>
        <v>26644</v>
      </c>
      <c r="AE50" s="26">
        <f aca="true" t="shared" si="12" ref="AE50:AJ50">SUM(AE27:AE30)</f>
        <v>36469</v>
      </c>
      <c r="AF50" s="26">
        <f t="shared" si="12"/>
        <v>34070</v>
      </c>
      <c r="AG50" s="26">
        <f t="shared" si="12"/>
        <v>24691</v>
      </c>
      <c r="AH50" s="26">
        <f t="shared" si="12"/>
        <v>21114</v>
      </c>
      <c r="AI50" s="26">
        <f t="shared" si="12"/>
        <v>23248</v>
      </c>
      <c r="AJ50" s="26">
        <f t="shared" si="12"/>
        <v>22075</v>
      </c>
    </row>
    <row r="51" spans="2:36" ht="12.75">
      <c r="B51" s="25" t="s">
        <v>66</v>
      </c>
      <c r="C51" s="19" t="s">
        <v>113</v>
      </c>
      <c r="D51" s="26">
        <f aca="true" t="shared" si="13" ref="D51:AD51">SUM(D31:D48)</f>
        <v>41448</v>
      </c>
      <c r="E51" s="26">
        <f t="shared" si="13"/>
        <v>37749</v>
      </c>
      <c r="F51" s="26">
        <f t="shared" si="13"/>
        <v>46737</v>
      </c>
      <c r="G51" s="26">
        <f t="shared" si="13"/>
        <v>50729</v>
      </c>
      <c r="H51" s="26">
        <f t="shared" si="13"/>
        <v>65363</v>
      </c>
      <c r="I51" s="26">
        <f t="shared" si="13"/>
        <v>54258</v>
      </c>
      <c r="J51" s="26">
        <f t="shared" si="13"/>
        <v>43102</v>
      </c>
      <c r="K51" s="26">
        <f t="shared" si="13"/>
        <v>33504</v>
      </c>
      <c r="L51" s="26">
        <f t="shared" si="13"/>
        <v>31264</v>
      </c>
      <c r="M51" s="26">
        <f t="shared" si="13"/>
        <v>22575</v>
      </c>
      <c r="N51" s="26">
        <f t="shared" si="13"/>
        <v>19602</v>
      </c>
      <c r="O51" s="26">
        <f t="shared" si="13"/>
        <v>30543</v>
      </c>
      <c r="P51" s="26">
        <f t="shared" si="13"/>
        <v>37782</v>
      </c>
      <c r="Q51" s="26">
        <f t="shared" si="13"/>
        <v>32744</v>
      </c>
      <c r="R51" s="26">
        <f t="shared" si="13"/>
        <v>44825</v>
      </c>
      <c r="S51" s="26">
        <f t="shared" si="13"/>
        <v>41206</v>
      </c>
      <c r="T51" s="26">
        <f t="shared" si="13"/>
        <v>44731</v>
      </c>
      <c r="U51" s="26">
        <f t="shared" si="13"/>
        <v>42876</v>
      </c>
      <c r="V51" s="26">
        <f t="shared" si="13"/>
        <v>32913</v>
      </c>
      <c r="W51" s="26">
        <f t="shared" si="13"/>
        <v>28158</v>
      </c>
      <c r="X51" s="26">
        <f t="shared" si="13"/>
        <v>27144</v>
      </c>
      <c r="Y51" s="26">
        <f t="shared" si="13"/>
        <v>21618</v>
      </c>
      <c r="Z51" s="26">
        <f t="shared" si="13"/>
        <v>20521</v>
      </c>
      <c r="AA51" s="26">
        <f t="shared" si="13"/>
        <v>26542</v>
      </c>
      <c r="AB51" s="26">
        <f t="shared" si="13"/>
        <v>39840</v>
      </c>
      <c r="AC51" s="26">
        <f t="shared" si="13"/>
        <v>35356</v>
      </c>
      <c r="AD51" s="26">
        <f t="shared" si="13"/>
        <v>40064</v>
      </c>
      <c r="AE51" s="26">
        <f aca="true" t="shared" si="14" ref="AE51:AJ51">SUM(AE31:AE48)</f>
        <v>57139</v>
      </c>
      <c r="AF51" s="26">
        <f t="shared" si="14"/>
        <v>52251</v>
      </c>
      <c r="AG51" s="26">
        <f t="shared" si="14"/>
        <v>36715</v>
      </c>
      <c r="AH51" s="26">
        <f t="shared" si="14"/>
        <v>29412</v>
      </c>
      <c r="AI51" s="26">
        <f t="shared" si="14"/>
        <v>30263</v>
      </c>
      <c r="AJ51" s="26">
        <f t="shared" si="14"/>
        <v>27966</v>
      </c>
    </row>
    <row r="52" spans="3:34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4" spans="2:36" ht="12.75">
      <c r="B54" s="17" t="s">
        <v>49</v>
      </c>
      <c r="C54" s="12" t="s">
        <v>50</v>
      </c>
      <c r="D54" s="12" t="s">
        <v>51</v>
      </c>
      <c r="E54" s="12" t="s">
        <v>52</v>
      </c>
      <c r="F54" s="12" t="s">
        <v>53</v>
      </c>
      <c r="G54" s="12" t="s">
        <v>54</v>
      </c>
      <c r="H54" s="12" t="s">
        <v>55</v>
      </c>
      <c r="I54" s="12" t="s">
        <v>56</v>
      </c>
      <c r="J54" s="12" t="s">
        <v>57</v>
      </c>
      <c r="K54" s="12" t="s">
        <v>58</v>
      </c>
      <c r="L54" s="12" t="s">
        <v>59</v>
      </c>
      <c r="M54" s="12" t="s">
        <v>60</v>
      </c>
      <c r="N54" s="12" t="s">
        <v>61</v>
      </c>
      <c r="O54" s="12" t="s">
        <v>62</v>
      </c>
      <c r="P54" s="12" t="s">
        <v>63</v>
      </c>
      <c r="Q54" s="13">
        <v>38657</v>
      </c>
      <c r="R54" s="13">
        <v>38687</v>
      </c>
      <c r="S54" s="13">
        <v>38718</v>
      </c>
      <c r="T54" s="13">
        <v>38749</v>
      </c>
      <c r="U54" s="13">
        <v>38777</v>
      </c>
      <c r="V54" s="13">
        <v>38808</v>
      </c>
      <c r="W54" s="13">
        <v>38838</v>
      </c>
      <c r="X54" s="13">
        <v>38869</v>
      </c>
      <c r="Y54" s="13">
        <v>38899</v>
      </c>
      <c r="Z54" s="13">
        <v>38930</v>
      </c>
      <c r="AA54" s="13">
        <v>38961</v>
      </c>
      <c r="AB54" s="13">
        <v>38991</v>
      </c>
      <c r="AC54" s="13">
        <v>39022</v>
      </c>
      <c r="AD54" s="13">
        <v>39052</v>
      </c>
      <c r="AE54" s="13">
        <v>39083</v>
      </c>
      <c r="AF54" s="13">
        <v>39114</v>
      </c>
      <c r="AG54" s="13">
        <v>39142</v>
      </c>
      <c r="AH54" s="13">
        <v>39173</v>
      </c>
      <c r="AI54" s="13">
        <v>39203</v>
      </c>
      <c r="AJ54" s="13">
        <v>39234</v>
      </c>
    </row>
    <row r="55" spans="1:36" ht="12.75">
      <c r="A55" t="s">
        <v>67</v>
      </c>
      <c r="B55" s="18" t="s">
        <v>26</v>
      </c>
      <c r="C55" s="19" t="s">
        <v>113</v>
      </c>
      <c r="D55" s="27">
        <f aca="true" t="shared" si="15" ref="D55:AD64">D27/D$49</f>
        <v>0.18667620637570553</v>
      </c>
      <c r="E55" s="27">
        <f t="shared" si="15"/>
        <v>0.18732003469210753</v>
      </c>
      <c r="F55" s="27">
        <f t="shared" si="15"/>
        <v>0.18604651162790697</v>
      </c>
      <c r="G55" s="27">
        <f t="shared" si="15"/>
        <v>0.18835491281194527</v>
      </c>
      <c r="H55" s="27">
        <f t="shared" si="15"/>
        <v>0.1905428290387677</v>
      </c>
      <c r="I55" s="27">
        <f t="shared" si="15"/>
        <v>0.17776444955812873</v>
      </c>
      <c r="J55" s="27">
        <f t="shared" si="15"/>
        <v>0.18123889006055857</v>
      </c>
      <c r="K55" s="27">
        <f t="shared" si="15"/>
        <v>0.18712475615068466</v>
      </c>
      <c r="L55" s="27">
        <f t="shared" si="15"/>
        <v>0.20115702805694316</v>
      </c>
      <c r="M55" s="27">
        <f t="shared" si="15"/>
        <v>0.2032709061505556</v>
      </c>
      <c r="N55" s="27">
        <f t="shared" si="15"/>
        <v>0.18664606622436306</v>
      </c>
      <c r="O55" s="27">
        <f t="shared" si="15"/>
        <v>0.20264512872286725</v>
      </c>
      <c r="P55" s="27">
        <f t="shared" si="15"/>
        <v>0.20829766216661177</v>
      </c>
      <c r="Q55" s="27">
        <f t="shared" si="15"/>
        <v>0.2249060459006823</v>
      </c>
      <c r="R55" s="27">
        <f t="shared" si="15"/>
        <v>0.23073047858942067</v>
      </c>
      <c r="S55" s="27">
        <f t="shared" si="15"/>
        <v>0.22169555994440787</v>
      </c>
      <c r="T55" s="27">
        <f t="shared" si="15"/>
        <v>0.22901746197795123</v>
      </c>
      <c r="U55" s="27">
        <f t="shared" si="15"/>
        <v>0.22094861660079052</v>
      </c>
      <c r="V55" s="27">
        <f t="shared" si="15"/>
        <v>0.23477766324245547</v>
      </c>
      <c r="W55" s="27">
        <f t="shared" si="15"/>
        <v>0.22690200601392263</v>
      </c>
      <c r="X55" s="27">
        <f t="shared" si="15"/>
        <v>0.24047728315741165</v>
      </c>
      <c r="Y55" s="27">
        <f t="shared" si="15"/>
        <v>0.22551966905624501</v>
      </c>
      <c r="Z55" s="27">
        <f t="shared" si="15"/>
        <v>0.20979672346720726</v>
      </c>
      <c r="AA55" s="27">
        <f t="shared" si="15"/>
        <v>0.22724298861604222</v>
      </c>
      <c r="AB55" s="27">
        <f t="shared" si="15"/>
        <v>0.23143070044709388</v>
      </c>
      <c r="AC55" s="27">
        <f t="shared" si="15"/>
        <v>0.22701609505350973</v>
      </c>
      <c r="AD55" s="27">
        <f t="shared" si="15"/>
        <v>0.2285782814654914</v>
      </c>
      <c r="AE55" s="27">
        <f aca="true" t="shared" si="16" ref="AE55:AF63">AE27/AE$49</f>
        <v>0.21806896846423382</v>
      </c>
      <c r="AF55" s="27">
        <f t="shared" si="16"/>
        <v>0.22729115742403355</v>
      </c>
      <c r="AG55" s="27">
        <f aca="true" t="shared" si="17" ref="AG55:AH79">AG27/AG$49</f>
        <v>0.21721004462104682</v>
      </c>
      <c r="AH55" s="27">
        <f t="shared" si="17"/>
        <v>0.22511182361556425</v>
      </c>
      <c r="AI55" s="27">
        <f aca="true" t="shared" si="18" ref="AI55:AJ79">AI27/AI$49</f>
        <v>0.2364560557642354</v>
      </c>
      <c r="AJ55" s="27">
        <f t="shared" si="18"/>
        <v>0.24366019863711758</v>
      </c>
    </row>
    <row r="56" spans="2:36" ht="12.75">
      <c r="B56" s="18" t="s">
        <v>27</v>
      </c>
      <c r="C56" s="19" t="s">
        <v>113</v>
      </c>
      <c r="D56" s="27">
        <f t="shared" si="15"/>
        <v>0.13137769298036409</v>
      </c>
      <c r="E56" s="27">
        <f t="shared" si="15"/>
        <v>0.1325585429314831</v>
      </c>
      <c r="F56" s="27">
        <f t="shared" si="15"/>
        <v>0.13168835222838657</v>
      </c>
      <c r="G56" s="27">
        <f t="shared" si="15"/>
        <v>0.1334186070794612</v>
      </c>
      <c r="H56" s="27">
        <f t="shared" si="15"/>
        <v>0.13513431292020323</v>
      </c>
      <c r="I56" s="27">
        <f t="shared" si="15"/>
        <v>0.14261059022252687</v>
      </c>
      <c r="J56" s="27">
        <f t="shared" si="15"/>
        <v>0.14891084932662468</v>
      </c>
      <c r="K56" s="27">
        <f t="shared" si="15"/>
        <v>0.15113922612170685</v>
      </c>
      <c r="L56" s="27">
        <f t="shared" si="15"/>
        <v>0.1478468616107568</v>
      </c>
      <c r="M56" s="27">
        <f t="shared" si="15"/>
        <v>0.16427565339871666</v>
      </c>
      <c r="N56" s="27">
        <f t="shared" si="15"/>
        <v>0.17189251416280407</v>
      </c>
      <c r="O56" s="27">
        <f t="shared" si="15"/>
        <v>0.14800605754669358</v>
      </c>
      <c r="P56" s="27">
        <f t="shared" si="15"/>
        <v>0.1464438590714521</v>
      </c>
      <c r="Q56" s="27">
        <f t="shared" si="15"/>
        <v>0.1514394132885759</v>
      </c>
      <c r="R56" s="27">
        <f t="shared" si="15"/>
        <v>0.157589818374652</v>
      </c>
      <c r="S56" s="27">
        <f t="shared" si="15"/>
        <v>0.15826201448321264</v>
      </c>
      <c r="T56" s="27">
        <f t="shared" si="15"/>
        <v>0.15533381615300018</v>
      </c>
      <c r="U56" s="27">
        <f t="shared" si="15"/>
        <v>0.1526962168266516</v>
      </c>
      <c r="V56" s="27">
        <f t="shared" si="15"/>
        <v>0.15956350193722674</v>
      </c>
      <c r="W56" s="27">
        <f t="shared" si="15"/>
        <v>0.1656918070601804</v>
      </c>
      <c r="X56" s="27">
        <f t="shared" si="15"/>
        <v>0.16143769035003547</v>
      </c>
      <c r="Y56" s="27">
        <f t="shared" si="15"/>
        <v>0.17590380020041624</v>
      </c>
      <c r="Z56" s="27">
        <f t="shared" si="15"/>
        <v>0.18199002794367433</v>
      </c>
      <c r="AA56" s="27">
        <f t="shared" si="15"/>
        <v>0.1598115758712435</v>
      </c>
      <c r="AB56" s="27">
        <f t="shared" si="15"/>
        <v>0.15242921013412816</v>
      </c>
      <c r="AC56" s="27">
        <f t="shared" si="15"/>
        <v>0.15441139293840062</v>
      </c>
      <c r="AD56" s="27">
        <f t="shared" si="15"/>
        <v>0.154119445943515</v>
      </c>
      <c r="AE56" s="27">
        <f t="shared" si="16"/>
        <v>0.15815955901205025</v>
      </c>
      <c r="AF56" s="27">
        <f t="shared" si="16"/>
        <v>0.15540830157203925</v>
      </c>
      <c r="AG56" s="27">
        <f t="shared" si="17"/>
        <v>0.16377878383219882</v>
      </c>
      <c r="AH56" s="27">
        <f t="shared" si="17"/>
        <v>0.169239599414163</v>
      </c>
      <c r="AI56" s="27">
        <f t="shared" si="18"/>
        <v>0.17147876137616566</v>
      </c>
      <c r="AJ56" s="27">
        <f t="shared" si="18"/>
        <v>0.167922303710957</v>
      </c>
    </row>
    <row r="57" spans="2:36" ht="12.75">
      <c r="B57" s="18" t="s">
        <v>28</v>
      </c>
      <c r="C57" s="19" t="s">
        <v>113</v>
      </c>
      <c r="D57" s="27">
        <f t="shared" si="15"/>
        <v>0.010843469274187138</v>
      </c>
      <c r="E57" s="27">
        <f t="shared" si="15"/>
        <v>0.012038161318300086</v>
      </c>
      <c r="F57" s="27">
        <f t="shared" si="15"/>
        <v>0.008570171829107368</v>
      </c>
      <c r="G57" s="27">
        <f t="shared" si="15"/>
        <v>0.007478855591521353</v>
      </c>
      <c r="H57" s="27">
        <f t="shared" si="15"/>
        <v>0.005303560382505349</v>
      </c>
      <c r="I57" s="27">
        <f t="shared" si="15"/>
        <v>0.007160518005336728</v>
      </c>
      <c r="J57" s="27">
        <f t="shared" si="15"/>
        <v>0.00905365912446145</v>
      </c>
      <c r="K57" s="27">
        <f t="shared" si="15"/>
        <v>0.011647947877800716</v>
      </c>
      <c r="L57" s="27">
        <f t="shared" si="15"/>
        <v>0.01380140975773491</v>
      </c>
      <c r="M57" s="27">
        <f t="shared" si="15"/>
        <v>0.017137044185925192</v>
      </c>
      <c r="N57" s="27">
        <f t="shared" si="15"/>
        <v>0.020358084158865763</v>
      </c>
      <c r="O57" s="27">
        <f t="shared" si="15"/>
        <v>0.01457849570923776</v>
      </c>
      <c r="P57" s="27">
        <f t="shared" si="15"/>
        <v>0.008561080013170892</v>
      </c>
      <c r="Q57" s="27">
        <f t="shared" si="15"/>
        <v>0.009523114532783596</v>
      </c>
      <c r="R57" s="27">
        <f t="shared" si="15"/>
        <v>0.006854036855362588</v>
      </c>
      <c r="S57" s="27">
        <f t="shared" si="15"/>
        <v>0.007490307951137444</v>
      </c>
      <c r="T57" s="27">
        <f t="shared" si="15"/>
        <v>0.0067460636785493956</v>
      </c>
      <c r="U57" s="27">
        <f t="shared" si="15"/>
        <v>0.009373235460191982</v>
      </c>
      <c r="V57" s="27">
        <f t="shared" si="15"/>
        <v>0.00799772509152952</v>
      </c>
      <c r="W57" s="27">
        <f t="shared" si="15"/>
        <v>0.011245211517073774</v>
      </c>
      <c r="X57" s="27">
        <f t="shared" si="15"/>
        <v>0.013642621719721307</v>
      </c>
      <c r="Y57" s="27">
        <f t="shared" si="15"/>
        <v>0.01821732315835453</v>
      </c>
      <c r="Z57" s="27">
        <f t="shared" si="15"/>
        <v>0.020300257520135884</v>
      </c>
      <c r="AA57" s="27">
        <f t="shared" si="15"/>
        <v>0.015658394033235924</v>
      </c>
      <c r="AB57" s="27">
        <f t="shared" si="15"/>
        <v>0.008912071535022355</v>
      </c>
      <c r="AC57" s="27">
        <f t="shared" si="15"/>
        <v>0.008578410718800033</v>
      </c>
      <c r="AD57" s="27">
        <f t="shared" si="15"/>
        <v>0.007345445823589375</v>
      </c>
      <c r="AE57" s="27">
        <f t="shared" si="16"/>
        <v>0.0057366891718656525</v>
      </c>
      <c r="AF57" s="27">
        <f t="shared" si="16"/>
        <v>0.005352115939342686</v>
      </c>
      <c r="AG57" s="27">
        <f t="shared" si="17"/>
        <v>0.009331335700094453</v>
      </c>
      <c r="AH57" s="27">
        <f t="shared" si="17"/>
        <v>0.010093813086331789</v>
      </c>
      <c r="AI57" s="27">
        <f t="shared" si="18"/>
        <v>0.011193960120349088</v>
      </c>
      <c r="AJ57" s="27">
        <f t="shared" si="18"/>
        <v>0.01205011890249995</v>
      </c>
    </row>
    <row r="58" spans="2:36" ht="12.75">
      <c r="B58" s="18" t="s">
        <v>29</v>
      </c>
      <c r="C58" s="19" t="s">
        <v>113</v>
      </c>
      <c r="D58" s="27">
        <f t="shared" si="15"/>
        <v>0.01209953096430559</v>
      </c>
      <c r="E58" s="27">
        <f t="shared" si="15"/>
        <v>0.01328707718993929</v>
      </c>
      <c r="F58" s="27">
        <f t="shared" si="15"/>
        <v>0.010542446471898633</v>
      </c>
      <c r="G58" s="27">
        <f t="shared" si="15"/>
        <v>0.008627440743447843</v>
      </c>
      <c r="H58" s="27">
        <f t="shared" si="15"/>
        <v>0.006195937655278716</v>
      </c>
      <c r="I58" s="27">
        <f t="shared" si="15"/>
        <v>0.008335577370315064</v>
      </c>
      <c r="J58" s="27">
        <f t="shared" si="15"/>
        <v>0.011494079720406135</v>
      </c>
      <c r="K58" s="27">
        <f t="shared" si="15"/>
        <v>0.015530597170400954</v>
      </c>
      <c r="L58" s="27">
        <f t="shared" si="15"/>
        <v>0.01990246213990957</v>
      </c>
      <c r="M58" s="27">
        <f t="shared" si="15"/>
        <v>0.0264750378214826</v>
      </c>
      <c r="N58" s="27">
        <f t="shared" si="15"/>
        <v>0.02726529128419522</v>
      </c>
      <c r="O58" s="27">
        <f t="shared" si="15"/>
        <v>0.018051489146895507</v>
      </c>
      <c r="P58" s="27">
        <f t="shared" si="15"/>
        <v>0.014669081330260125</v>
      </c>
      <c r="Q58" s="27">
        <f t="shared" si="15"/>
        <v>0.016765789761739702</v>
      </c>
      <c r="R58" s="27">
        <f t="shared" si="15"/>
        <v>0.010566087763489327</v>
      </c>
      <c r="S58" s="27">
        <f t="shared" si="15"/>
        <v>0.00972862263184844</v>
      </c>
      <c r="T58" s="27">
        <f t="shared" si="15"/>
        <v>0.008985810466457444</v>
      </c>
      <c r="U58" s="27">
        <f t="shared" si="15"/>
        <v>0.011730660643704122</v>
      </c>
      <c r="V58" s="27">
        <f t="shared" si="15"/>
        <v>0.012707496534319128</v>
      </c>
      <c r="W58" s="27">
        <f t="shared" si="15"/>
        <v>0.01622935288544713</v>
      </c>
      <c r="X58" s="27">
        <f t="shared" si="15"/>
        <v>0.018211022570820645</v>
      </c>
      <c r="Y58" s="27">
        <f t="shared" si="15"/>
        <v>0.02489786479611501</v>
      </c>
      <c r="Z58" s="27">
        <f t="shared" si="15"/>
        <v>0.025724617829160044</v>
      </c>
      <c r="AA58" s="27">
        <f t="shared" si="15"/>
        <v>0.018449862607406116</v>
      </c>
      <c r="AB58" s="27">
        <f t="shared" si="15"/>
        <v>0.013487332339791356</v>
      </c>
      <c r="AC58" s="27">
        <f t="shared" si="15"/>
        <v>0.014123198786550939</v>
      </c>
      <c r="AD58" s="27">
        <f t="shared" si="15"/>
        <v>0.00936919110151706</v>
      </c>
      <c r="AE58" s="27">
        <f t="shared" si="16"/>
        <v>0.007627553200581147</v>
      </c>
      <c r="AF58" s="27">
        <f t="shared" si="16"/>
        <v>0.006638013924769175</v>
      </c>
      <c r="AG58" s="27">
        <f t="shared" si="17"/>
        <v>0.011774093736768394</v>
      </c>
      <c r="AH58" s="27">
        <f t="shared" si="17"/>
        <v>0.01343862565807703</v>
      </c>
      <c r="AI58" s="27">
        <f t="shared" si="18"/>
        <v>0.015323952084618116</v>
      </c>
      <c r="AJ58" s="27">
        <f t="shared" si="18"/>
        <v>0.017505645370795946</v>
      </c>
    </row>
    <row r="59" spans="2:36" ht="12.75">
      <c r="B59" s="18" t="s">
        <v>30</v>
      </c>
      <c r="C59" s="19" t="s">
        <v>113</v>
      </c>
      <c r="D59" s="27">
        <f t="shared" si="15"/>
        <v>0.008681135225375626</v>
      </c>
      <c r="E59" s="27">
        <f t="shared" si="15"/>
        <v>0.008013876843018214</v>
      </c>
      <c r="F59" s="27">
        <f t="shared" si="15"/>
        <v>0.008981653589114178</v>
      </c>
      <c r="G59" s="27">
        <f t="shared" si="15"/>
        <v>0.008261981831471234</v>
      </c>
      <c r="H59" s="27">
        <f t="shared" si="15"/>
        <v>0.008984616632695487</v>
      </c>
      <c r="I59" s="27">
        <f t="shared" si="15"/>
        <v>0.007148277803618204</v>
      </c>
      <c r="J59" s="27">
        <f t="shared" si="15"/>
        <v>0.008722243981802295</v>
      </c>
      <c r="K59" s="27">
        <f t="shared" si="15"/>
        <v>0.006382696641981856</v>
      </c>
      <c r="L59" s="27">
        <f t="shared" si="15"/>
        <v>0.007897802436472052</v>
      </c>
      <c r="M59" s="27">
        <f t="shared" si="15"/>
        <v>0.006442693932912515</v>
      </c>
      <c r="N59" s="27">
        <f t="shared" si="15"/>
        <v>0.005483353024932594</v>
      </c>
      <c r="O59" s="27">
        <f t="shared" si="15"/>
        <v>0.007147905098435134</v>
      </c>
      <c r="P59" s="27">
        <f t="shared" si="15"/>
        <v>0.007013500164636154</v>
      </c>
      <c r="Q59" s="27">
        <f t="shared" si="15"/>
        <v>0.007187944685664247</v>
      </c>
      <c r="R59" s="27">
        <f t="shared" si="15"/>
        <v>0.007371072517565956</v>
      </c>
      <c r="S59" s="27">
        <f t="shared" si="15"/>
        <v>0.006729573549850047</v>
      </c>
      <c r="T59" s="27">
        <f t="shared" si="15"/>
        <v>0.007175236715753333</v>
      </c>
      <c r="U59" s="27">
        <f t="shared" si="15"/>
        <v>0.0067193675889328066</v>
      </c>
      <c r="V59" s="27">
        <f t="shared" si="15"/>
        <v>0.005900543845306224</v>
      </c>
      <c r="W59" s="27">
        <f t="shared" si="15"/>
        <v>0.005787370762450055</v>
      </c>
      <c r="X59" s="27">
        <f t="shared" si="15"/>
        <v>0.005194209186866369</v>
      </c>
      <c r="Y59" s="27">
        <f t="shared" si="15"/>
        <v>0.005215961355636065</v>
      </c>
      <c r="Z59" s="27">
        <f t="shared" si="15"/>
        <v>0.004739466330612022</v>
      </c>
      <c r="AA59" s="27">
        <f t="shared" si="15"/>
        <v>0.006368037684825752</v>
      </c>
      <c r="AB59" s="27">
        <f t="shared" si="15"/>
        <v>0.006929955290611028</v>
      </c>
      <c r="AC59" s="27">
        <f t="shared" si="15"/>
        <v>0.005966124547063285</v>
      </c>
      <c r="AD59" s="27">
        <f t="shared" si="15"/>
        <v>0.007000659591053547</v>
      </c>
      <c r="AE59" s="27">
        <f t="shared" si="16"/>
        <v>0.0068263396290915304</v>
      </c>
      <c r="AF59" s="27">
        <f t="shared" si="16"/>
        <v>0.006024026598394365</v>
      </c>
      <c r="AG59" s="27">
        <f t="shared" si="17"/>
        <v>0.00672572712764225</v>
      </c>
      <c r="AH59" s="27">
        <f t="shared" si="17"/>
        <v>0.00668962514349048</v>
      </c>
      <c r="AI59" s="27">
        <f t="shared" si="18"/>
        <v>0.006465960269851059</v>
      </c>
      <c r="AJ59" s="27">
        <f t="shared" si="18"/>
        <v>0.006474690753582063</v>
      </c>
    </row>
    <row r="60" spans="2:36" ht="12.75">
      <c r="B60" s="18" t="s">
        <v>31</v>
      </c>
      <c r="C60" s="19" t="s">
        <v>113</v>
      </c>
      <c r="D60" s="27">
        <f t="shared" si="15"/>
        <v>0.010763971698863185</v>
      </c>
      <c r="E60" s="27">
        <f t="shared" si="15"/>
        <v>0.010268863833477884</v>
      </c>
      <c r="F60" s="27">
        <f t="shared" si="15"/>
        <v>0.010570824524312896</v>
      </c>
      <c r="G60" s="27">
        <f t="shared" si="15"/>
        <v>0.010024015871358464</v>
      </c>
      <c r="H60" s="27">
        <f t="shared" si="15"/>
        <v>0.010404307748471297</v>
      </c>
      <c r="I60" s="27">
        <f t="shared" si="15"/>
        <v>0.009694239761071262</v>
      </c>
      <c r="J60" s="27">
        <f t="shared" si="15"/>
        <v>0.010108161851104216</v>
      </c>
      <c r="K60" s="27">
        <f t="shared" si="15"/>
        <v>0.008144093638137086</v>
      </c>
      <c r="L60" s="27">
        <f t="shared" si="15"/>
        <v>0.008509882125298636</v>
      </c>
      <c r="M60" s="27">
        <f t="shared" si="15"/>
        <v>0.008007720799207052</v>
      </c>
      <c r="N60" s="27">
        <f t="shared" si="15"/>
        <v>0.00496834196734224</v>
      </c>
      <c r="O60" s="27">
        <f t="shared" si="15"/>
        <v>0.00668349318525997</v>
      </c>
      <c r="P60" s="27">
        <f t="shared" si="15"/>
        <v>0.008956206783009549</v>
      </c>
      <c r="Q60" s="27">
        <f t="shared" si="15"/>
        <v>0.007954172291750283</v>
      </c>
      <c r="R60" s="27">
        <f t="shared" si="15"/>
        <v>0.009147554023598037</v>
      </c>
      <c r="S60" s="27">
        <f t="shared" si="15"/>
        <v>0.008148635798405383</v>
      </c>
      <c r="T60" s="27">
        <f t="shared" si="15"/>
        <v>0.009240631957297282</v>
      </c>
      <c r="U60" s="27">
        <f t="shared" si="15"/>
        <v>0.008229813664596273</v>
      </c>
      <c r="V60" s="27">
        <f t="shared" si="15"/>
        <v>0.007588952475740234</v>
      </c>
      <c r="W60" s="27">
        <f t="shared" si="15"/>
        <v>0.006116900770276394</v>
      </c>
      <c r="X60" s="27">
        <f t="shared" si="15"/>
        <v>0.006591847803412741</v>
      </c>
      <c r="Y60" s="27">
        <f t="shared" si="15"/>
        <v>0.005729849173925332</v>
      </c>
      <c r="Z60" s="27">
        <f t="shared" si="15"/>
        <v>0.00449290449838365</v>
      </c>
      <c r="AA60" s="27">
        <f t="shared" si="15"/>
        <v>0.005931870720111658</v>
      </c>
      <c r="AB60" s="27">
        <f t="shared" si="15"/>
        <v>0.005707898658718331</v>
      </c>
      <c r="AC60" s="27">
        <f t="shared" si="15"/>
        <v>0.004129097497261313</v>
      </c>
      <c r="AD60" s="27">
        <f t="shared" si="15"/>
        <v>0.0035228158541704144</v>
      </c>
      <c r="AE60" s="27">
        <f t="shared" si="16"/>
        <v>0.0033116827621570808</v>
      </c>
      <c r="AF60" s="27">
        <f t="shared" si="16"/>
        <v>0.0030004286326618087</v>
      </c>
      <c r="AG60" s="27">
        <f t="shared" si="17"/>
        <v>0.0015307950363156694</v>
      </c>
      <c r="AH60" s="27">
        <f t="shared" si="17"/>
        <v>0.0016823021810552982</v>
      </c>
      <c r="AI60" s="27">
        <f t="shared" si="18"/>
        <v>0.001495019715572499</v>
      </c>
      <c r="AJ60" s="27">
        <f t="shared" si="18"/>
        <v>0.0010591315121600288</v>
      </c>
    </row>
    <row r="61" spans="2:36" ht="12.75">
      <c r="B61" s="18" t="s">
        <v>32</v>
      </c>
      <c r="C61" s="19" t="s">
        <v>113</v>
      </c>
      <c r="D61" s="27">
        <f t="shared" si="15"/>
        <v>0.023245091024723746</v>
      </c>
      <c r="E61" s="27">
        <f t="shared" si="15"/>
        <v>0.0208326105810928</v>
      </c>
      <c r="F61" s="27">
        <f t="shared" si="15"/>
        <v>0.023284192005902635</v>
      </c>
      <c r="G61" s="27">
        <f t="shared" si="15"/>
        <v>0.022710660958546517</v>
      </c>
      <c r="H61" s="27">
        <f t="shared" si="15"/>
        <v>0.023698700982629065</v>
      </c>
      <c r="I61" s="27">
        <f t="shared" si="15"/>
        <v>0.02086954393008397</v>
      </c>
      <c r="J61" s="27">
        <f t="shared" si="15"/>
        <v>0.021632370220842998</v>
      </c>
      <c r="K61" s="27">
        <f t="shared" si="15"/>
        <v>0.02001931854769977</v>
      </c>
      <c r="L61" s="27">
        <f t="shared" si="15"/>
        <v>0.020948920962742118</v>
      </c>
      <c r="M61" s="27">
        <f t="shared" si="15"/>
        <v>0.018310814335646096</v>
      </c>
      <c r="N61" s="27">
        <f t="shared" si="15"/>
        <v>0.01484443636583962</v>
      </c>
      <c r="O61" s="27">
        <f t="shared" si="15"/>
        <v>0.0209994952044422</v>
      </c>
      <c r="P61" s="27">
        <f t="shared" si="15"/>
        <v>0.022983207112281856</v>
      </c>
      <c r="Q61" s="27">
        <f t="shared" si="15"/>
        <v>0.022968584668150473</v>
      </c>
      <c r="R61" s="27">
        <f t="shared" si="15"/>
        <v>0.02388969905872995</v>
      </c>
      <c r="S61" s="27">
        <f t="shared" si="15"/>
        <v>0.022558700899714724</v>
      </c>
      <c r="T61" s="27">
        <f t="shared" si="15"/>
        <v>0.025482149083983798</v>
      </c>
      <c r="U61" s="27">
        <f t="shared" si="15"/>
        <v>0.022910784867306605</v>
      </c>
      <c r="V61" s="27">
        <f t="shared" si="15"/>
        <v>0.02072299434827427</v>
      </c>
      <c r="W61" s="27">
        <f t="shared" si="15"/>
        <v>0.01824772418338345</v>
      </c>
      <c r="X61" s="27">
        <f t="shared" si="15"/>
        <v>0.019337477575201302</v>
      </c>
      <c r="Y61" s="27">
        <f t="shared" si="15"/>
        <v>0.015956216757881756</v>
      </c>
      <c r="Z61" s="27">
        <f t="shared" si="15"/>
        <v>0.01506766752506712</v>
      </c>
      <c r="AA61" s="27">
        <f t="shared" si="15"/>
        <v>0.02163388144981899</v>
      </c>
      <c r="AB61" s="27">
        <f t="shared" si="15"/>
        <v>0.023427719821162443</v>
      </c>
      <c r="AC61" s="27">
        <f t="shared" si="15"/>
        <v>0.021791522710036235</v>
      </c>
      <c r="AD61" s="27">
        <f t="shared" si="15"/>
        <v>0.023640342987347844</v>
      </c>
      <c r="AE61" s="27">
        <f t="shared" si="16"/>
        <v>0.024218015554226136</v>
      </c>
      <c r="AF61" s="27">
        <f t="shared" si="16"/>
        <v>0.024084521727042087</v>
      </c>
      <c r="AG61" s="27">
        <f t="shared" si="17"/>
        <v>0.022473373937400253</v>
      </c>
      <c r="AH61" s="27">
        <f t="shared" si="17"/>
        <v>0.022265764161026005</v>
      </c>
      <c r="AI61" s="27">
        <f t="shared" si="18"/>
        <v>0.021453532918465364</v>
      </c>
      <c r="AJ61" s="27">
        <f t="shared" si="18"/>
        <v>0.020123498731040548</v>
      </c>
    </row>
    <row r="62" spans="2:36" ht="12.75">
      <c r="B62" s="18" t="s">
        <v>33</v>
      </c>
      <c r="C62" s="19" t="s">
        <v>113</v>
      </c>
      <c r="D62" s="27">
        <f t="shared" si="15"/>
        <v>0.06083154463788854</v>
      </c>
      <c r="E62" s="27">
        <f t="shared" si="15"/>
        <v>0.05944492627927147</v>
      </c>
      <c r="F62" s="27">
        <f t="shared" si="15"/>
        <v>0.060885111454800855</v>
      </c>
      <c r="G62" s="27">
        <f t="shared" si="15"/>
        <v>0.0634984859559361</v>
      </c>
      <c r="H62" s="27">
        <f t="shared" si="15"/>
        <v>0.06751645320596676</v>
      </c>
      <c r="I62" s="27">
        <f t="shared" si="15"/>
        <v>0.06745575167078753</v>
      </c>
      <c r="J62" s="27">
        <f t="shared" si="15"/>
        <v>0.05905215269199482</v>
      </c>
      <c r="K62" s="27">
        <f t="shared" si="15"/>
        <v>0.052936608647891056</v>
      </c>
      <c r="L62" s="27">
        <f t="shared" si="15"/>
        <v>0.048117361344205974</v>
      </c>
      <c r="M62" s="27">
        <f t="shared" si="15"/>
        <v>0.03915175543846836</v>
      </c>
      <c r="N62" s="27">
        <f t="shared" si="15"/>
        <v>0.0429276863885607</v>
      </c>
      <c r="O62" s="27">
        <f t="shared" si="15"/>
        <v>0.04759212518929833</v>
      </c>
      <c r="P62" s="27">
        <f t="shared" si="15"/>
        <v>0.04815607507408627</v>
      </c>
      <c r="Q62" s="27">
        <f t="shared" si="15"/>
        <v>0.04708651074543</v>
      </c>
      <c r="R62" s="27">
        <f t="shared" si="15"/>
        <v>0.047580538247381676</v>
      </c>
      <c r="S62" s="27">
        <f t="shared" si="15"/>
        <v>0.053851217906517444</v>
      </c>
      <c r="T62" s="27">
        <f t="shared" si="15"/>
        <v>0.049676779056355785</v>
      </c>
      <c r="U62" s="27">
        <f t="shared" si="15"/>
        <v>0.04695087521174478</v>
      </c>
      <c r="V62" s="27">
        <f t="shared" si="15"/>
        <v>0.0441829879500942</v>
      </c>
      <c r="W62" s="27">
        <f t="shared" si="15"/>
        <v>0.04003789595090003</v>
      </c>
      <c r="X62" s="27">
        <f t="shared" si="15"/>
        <v>0.03498268596937711</v>
      </c>
      <c r="Y62" s="27">
        <f t="shared" si="15"/>
        <v>0.030422158842724634</v>
      </c>
      <c r="Z62" s="27">
        <f t="shared" si="15"/>
        <v>0.03503917593556517</v>
      </c>
      <c r="AA62" s="27">
        <f t="shared" si="15"/>
        <v>0.03648536659833384</v>
      </c>
      <c r="AB62" s="27">
        <f t="shared" si="15"/>
        <v>0.03658718330849478</v>
      </c>
      <c r="AC62" s="27">
        <f t="shared" si="15"/>
        <v>0.038358473076598974</v>
      </c>
      <c r="AD62" s="27">
        <f t="shared" si="15"/>
        <v>0.03813635545961504</v>
      </c>
      <c r="AE62" s="27">
        <f t="shared" si="16"/>
        <v>0.04359670113665499</v>
      </c>
      <c r="AF62" s="27">
        <f t="shared" si="16"/>
        <v>0.04199441619072995</v>
      </c>
      <c r="AG62" s="27">
        <f t="shared" si="17"/>
        <v>0.0397355307298961</v>
      </c>
      <c r="AH62" s="27">
        <f t="shared" si="17"/>
        <v>0.03871274195463722</v>
      </c>
      <c r="AI62" s="27">
        <f t="shared" si="18"/>
        <v>0.036796172749528136</v>
      </c>
      <c r="AJ62" s="27">
        <f t="shared" si="18"/>
        <v>0.033552486960692234</v>
      </c>
    </row>
    <row r="63" spans="2:36" ht="12.75">
      <c r="B63" s="18" t="s">
        <v>34</v>
      </c>
      <c r="C63" s="19" t="s">
        <v>113</v>
      </c>
      <c r="D63" s="27">
        <f t="shared" si="15"/>
        <v>0.03962159154145799</v>
      </c>
      <c r="E63" s="27">
        <f t="shared" si="15"/>
        <v>0.03967042497831743</v>
      </c>
      <c r="F63" s="27">
        <f t="shared" si="15"/>
        <v>0.042751535962086924</v>
      </c>
      <c r="G63" s="27">
        <f t="shared" si="15"/>
        <v>0.04153179492534197</v>
      </c>
      <c r="H63" s="27">
        <f t="shared" si="15"/>
        <v>0.040907385435997284</v>
      </c>
      <c r="I63" s="27">
        <f t="shared" si="15"/>
        <v>0.042840706014835125</v>
      </c>
      <c r="J63" s="27">
        <f t="shared" si="15"/>
        <v>0.04704588593293363</v>
      </c>
      <c r="K63" s="27">
        <f t="shared" si="15"/>
        <v>0.042784901229189945</v>
      </c>
      <c r="L63" s="27">
        <f t="shared" si="15"/>
        <v>0.043319446364049205</v>
      </c>
      <c r="M63" s="27">
        <f t="shared" si="15"/>
        <v>0.0453857791225416</v>
      </c>
      <c r="N63" s="27">
        <f t="shared" si="15"/>
        <v>0.04092823169438638</v>
      </c>
      <c r="O63" s="27">
        <f t="shared" si="15"/>
        <v>0.03943462897526502</v>
      </c>
      <c r="P63" s="27">
        <f t="shared" si="15"/>
        <v>0.03778399736582153</v>
      </c>
      <c r="Q63" s="27">
        <f t="shared" si="15"/>
        <v>0.039041120881526614</v>
      </c>
      <c r="R63" s="27">
        <f t="shared" si="15"/>
        <v>0.0371867957046268</v>
      </c>
      <c r="S63" s="27">
        <f t="shared" si="15"/>
        <v>0.03553507424475166</v>
      </c>
      <c r="T63" s="27">
        <f t="shared" si="15"/>
        <v>0.035742067004640436</v>
      </c>
      <c r="U63" s="27">
        <f t="shared" si="15"/>
        <v>0.03739412761151892</v>
      </c>
      <c r="V63" s="27">
        <f t="shared" si="15"/>
        <v>0.038015853268403656</v>
      </c>
      <c r="W63" s="27">
        <f t="shared" si="15"/>
        <v>0.037854759649050544</v>
      </c>
      <c r="X63" s="27">
        <f t="shared" si="15"/>
        <v>0.03827860987108348</v>
      </c>
      <c r="Y63" s="27">
        <f t="shared" si="15"/>
        <v>0.04357768699092988</v>
      </c>
      <c r="Z63" s="27">
        <f t="shared" si="15"/>
        <v>0.04290175880773656</v>
      </c>
      <c r="AA63" s="27">
        <f t="shared" si="15"/>
        <v>0.041915645309024294</v>
      </c>
      <c r="AB63" s="27">
        <f t="shared" si="15"/>
        <v>0.03678092399403875</v>
      </c>
      <c r="AC63" s="27">
        <f t="shared" si="15"/>
        <v>0.03670683407769445</v>
      </c>
      <c r="AD63" s="27">
        <f t="shared" si="15"/>
        <v>0.03810637404809018</v>
      </c>
      <c r="AE63" s="27">
        <f t="shared" si="16"/>
        <v>0.034997008802666436</v>
      </c>
      <c r="AF63" s="27">
        <f t="shared" si="16"/>
        <v>0.03452230627541386</v>
      </c>
      <c r="AG63" s="27">
        <f t="shared" si="17"/>
        <v>0.03831873106862522</v>
      </c>
      <c r="AH63" s="27">
        <f t="shared" si="17"/>
        <v>0.03750544274235047</v>
      </c>
      <c r="AI63" s="27">
        <f t="shared" si="18"/>
        <v>0.038833137111995666</v>
      </c>
      <c r="AJ63" s="27">
        <f t="shared" si="18"/>
        <v>0.04038688275613996</v>
      </c>
    </row>
    <row r="64" spans="2:36" ht="12.75">
      <c r="B64" s="18" t="s">
        <v>35</v>
      </c>
      <c r="C64" s="19" t="s">
        <v>113</v>
      </c>
      <c r="D64" s="27">
        <f t="shared" si="15"/>
        <v>0.13026472692582877</v>
      </c>
      <c r="E64" s="27">
        <f t="shared" si="15"/>
        <v>0.12631396357328709</v>
      </c>
      <c r="F64" s="27">
        <f t="shared" si="15"/>
        <v>0.14162067057337854</v>
      </c>
      <c r="G64" s="27">
        <f t="shared" si="15"/>
        <v>0.14293359089485225</v>
      </c>
      <c r="H64" s="27">
        <f t="shared" si="15"/>
        <v>0.14364231896403112</v>
      </c>
      <c r="I64" s="27">
        <f t="shared" si="15"/>
        <v>0.1382530784107322</v>
      </c>
      <c r="J64" s="27">
        <f t="shared" si="15"/>
        <v>0.15047753909192252</v>
      </c>
      <c r="K64" s="27">
        <f t="shared" si="15"/>
        <v>0.13327903937574576</v>
      </c>
      <c r="L64" s="27">
        <f t="shared" si="15"/>
        <v>0.13536833376113097</v>
      </c>
      <c r="M64" s="27">
        <f t="shared" si="15"/>
        <v>0.1256194898012416</v>
      </c>
      <c r="N64" s="27">
        <f t="shared" si="15"/>
        <v>0.11496864491502318</v>
      </c>
      <c r="O64" s="27">
        <f t="shared" si="15"/>
        <v>0.1208884401817264</v>
      </c>
      <c r="P64" s="27">
        <f aca="true" t="shared" si="19" ref="P64:AD64">P36/P$49</f>
        <v>0.12910767204478105</v>
      </c>
      <c r="Q64" s="27">
        <f t="shared" si="19"/>
        <v>0.11916663626080928</v>
      </c>
      <c r="R64" s="27">
        <f t="shared" si="19"/>
        <v>0.1345088161209068</v>
      </c>
      <c r="S64" s="27">
        <f t="shared" si="19"/>
        <v>0.12897374003364787</v>
      </c>
      <c r="T64" s="27">
        <f t="shared" si="19"/>
        <v>0.14593224430675142</v>
      </c>
      <c r="U64" s="27">
        <f t="shared" si="19"/>
        <v>0.13379446640316206</v>
      </c>
      <c r="V64" s="27">
        <f t="shared" si="19"/>
        <v>0.14548750577613478</v>
      </c>
      <c r="W64" s="27">
        <f t="shared" si="19"/>
        <v>0.13090579560901264</v>
      </c>
      <c r="X64" s="27">
        <f t="shared" si="19"/>
        <v>0.12768576077433352</v>
      </c>
      <c r="Y64" s="27">
        <f t="shared" si="19"/>
        <v>0.13607749428299803</v>
      </c>
      <c r="Z64" s="27">
        <f t="shared" si="19"/>
        <v>0.11832228371048162</v>
      </c>
      <c r="AA64" s="27">
        <f t="shared" si="19"/>
        <v>0.11959698172460417</v>
      </c>
      <c r="AB64" s="27">
        <f t="shared" si="19"/>
        <v>0.13584202682563337</v>
      </c>
      <c r="AC64" s="27">
        <f t="shared" si="19"/>
        <v>0.13609168281789838</v>
      </c>
      <c r="AD64" s="27">
        <f t="shared" si="19"/>
        <v>0.15401451100317803</v>
      </c>
      <c r="AE64" s="27">
        <f aca="true" t="shared" si="20" ref="AE64:AF73">AE36/AE$49</f>
        <v>0.15290359798307837</v>
      </c>
      <c r="AF64" s="27">
        <f t="shared" si="20"/>
        <v>0.1583855608716303</v>
      </c>
      <c r="AG64" s="27">
        <f t="shared" si="17"/>
        <v>0.14925251604077777</v>
      </c>
      <c r="AH64" s="27">
        <f t="shared" si="17"/>
        <v>0.14453944503819816</v>
      </c>
      <c r="AI64" s="27">
        <f t="shared" si="18"/>
        <v>0.1430920745267328</v>
      </c>
      <c r="AJ64" s="27">
        <f t="shared" si="18"/>
        <v>0.14128414699946043</v>
      </c>
    </row>
    <row r="65" spans="2:36" ht="12.75">
      <c r="B65" s="18" t="s">
        <v>36</v>
      </c>
      <c r="C65" s="19" t="s">
        <v>113</v>
      </c>
      <c r="D65" s="27">
        <f aca="true" t="shared" si="21" ref="D65:AD74">D37/D$49</f>
        <v>0.01696478257413149</v>
      </c>
      <c r="E65" s="27">
        <f t="shared" si="21"/>
        <v>0.01660017346053773</v>
      </c>
      <c r="F65" s="27">
        <f t="shared" si="21"/>
        <v>0.015466038565773232</v>
      </c>
      <c r="G65" s="27">
        <f t="shared" si="21"/>
        <v>0.01647175524694581</v>
      </c>
      <c r="H65" s="27">
        <f t="shared" si="21"/>
        <v>0.015312382748724812</v>
      </c>
      <c r="I65" s="27">
        <f t="shared" si="21"/>
        <v>0.014406717422703125</v>
      </c>
      <c r="J65" s="27">
        <f t="shared" si="21"/>
        <v>0.011750173239733663</v>
      </c>
      <c r="K65" s="27">
        <f t="shared" si="21"/>
        <v>0.011439610598685581</v>
      </c>
      <c r="L65" s="27">
        <f t="shared" si="21"/>
        <v>0.008174225521748573</v>
      </c>
      <c r="M65" s="27">
        <f t="shared" si="21"/>
        <v>0.0075121289582137825</v>
      </c>
      <c r="N65" s="27">
        <f t="shared" si="21"/>
        <v>0.008118997849071465</v>
      </c>
      <c r="O65" s="27">
        <f t="shared" si="21"/>
        <v>0.0098334174659263</v>
      </c>
      <c r="P65" s="27">
        <f t="shared" si="21"/>
        <v>0.009400724399078037</v>
      </c>
      <c r="Q65" s="27">
        <f t="shared" si="21"/>
        <v>0.00875688692669756</v>
      </c>
      <c r="R65" s="27">
        <f t="shared" si="21"/>
        <v>0.009333156569004375</v>
      </c>
      <c r="S65" s="27">
        <f t="shared" si="21"/>
        <v>0.01069417014117475</v>
      </c>
      <c r="T65" s="27">
        <f t="shared" si="21"/>
        <v>0.011051205708001395</v>
      </c>
      <c r="U65" s="27">
        <f t="shared" si="21"/>
        <v>0.01098249576510446</v>
      </c>
      <c r="V65" s="27">
        <f t="shared" si="21"/>
        <v>0.008246543205488217</v>
      </c>
      <c r="W65" s="27">
        <f t="shared" si="21"/>
        <v>0.00819705894468015</v>
      </c>
      <c r="X65" s="27">
        <f t="shared" si="21"/>
        <v>0.006737869748425049</v>
      </c>
      <c r="Y65" s="27">
        <f t="shared" si="21"/>
        <v>0.0068604023741617205</v>
      </c>
      <c r="Z65" s="27">
        <f t="shared" si="21"/>
        <v>0.008026957426990302</v>
      </c>
      <c r="AA65" s="27">
        <f t="shared" si="21"/>
        <v>0.008701530946046147</v>
      </c>
      <c r="AB65" s="27">
        <f t="shared" si="21"/>
        <v>0.00947839046199702</v>
      </c>
      <c r="AC65" s="27">
        <f t="shared" si="21"/>
        <v>0.010280610095222045</v>
      </c>
      <c r="AD65" s="27">
        <f t="shared" si="21"/>
        <v>0.008709600047970258</v>
      </c>
      <c r="AE65" s="27">
        <f t="shared" si="20"/>
        <v>0.010800358943680028</v>
      </c>
      <c r="AF65" s="27">
        <f t="shared" si="20"/>
        <v>0.01039144588223028</v>
      </c>
      <c r="AG65" s="27">
        <f t="shared" si="17"/>
        <v>0.009461616128717064</v>
      </c>
      <c r="AH65" s="27">
        <f t="shared" si="17"/>
        <v>0.008292760163084353</v>
      </c>
      <c r="AI65" s="27">
        <f t="shared" si="18"/>
        <v>0.00730690885986059</v>
      </c>
      <c r="AJ65" s="27">
        <f t="shared" si="18"/>
        <v>0.005975100417657521</v>
      </c>
    </row>
    <row r="66" spans="2:36" ht="12.75">
      <c r="B66" s="18" t="s">
        <v>37</v>
      </c>
      <c r="C66" s="19" t="s">
        <v>113</v>
      </c>
      <c r="D66" s="27">
        <f t="shared" si="21"/>
        <v>0.01849113602035138</v>
      </c>
      <c r="E66" s="27">
        <f t="shared" si="21"/>
        <v>0.019722463139635733</v>
      </c>
      <c r="F66" s="27">
        <f t="shared" si="21"/>
        <v>0.018048441335471146</v>
      </c>
      <c r="G66" s="27">
        <f t="shared" si="21"/>
        <v>0.02097473112665762</v>
      </c>
      <c r="H66" s="27">
        <f t="shared" si="21"/>
        <v>0.022076196850313853</v>
      </c>
      <c r="I66" s="27">
        <f t="shared" si="21"/>
        <v>0.025545300986560257</v>
      </c>
      <c r="J66" s="27">
        <f t="shared" si="21"/>
        <v>0.017941610677593322</v>
      </c>
      <c r="K66" s="27">
        <f t="shared" si="21"/>
        <v>0.020341294342695885</v>
      </c>
      <c r="L66" s="27">
        <f t="shared" si="21"/>
        <v>0.016249728513041246</v>
      </c>
      <c r="M66" s="27">
        <f t="shared" si="21"/>
        <v>0.015363347070791383</v>
      </c>
      <c r="N66" s="27">
        <f t="shared" si="21"/>
        <v>0.020297494622678665</v>
      </c>
      <c r="O66" s="27">
        <f t="shared" si="21"/>
        <v>0.016193841494194852</v>
      </c>
      <c r="P66" s="27">
        <f t="shared" si="21"/>
        <v>0.016183733947974975</v>
      </c>
      <c r="Q66" s="27">
        <f t="shared" si="21"/>
        <v>0.018097566315174955</v>
      </c>
      <c r="R66" s="27">
        <f t="shared" si="21"/>
        <v>0.016770515709929736</v>
      </c>
      <c r="S66" s="27">
        <f t="shared" si="21"/>
        <v>0.022061297637334505</v>
      </c>
      <c r="T66" s="27">
        <f t="shared" si="21"/>
        <v>0.017582682867948823</v>
      </c>
      <c r="U66" s="27">
        <f t="shared" si="21"/>
        <v>0.021852060982495765</v>
      </c>
      <c r="V66" s="27">
        <f t="shared" si="21"/>
        <v>0.01656417730067892</v>
      </c>
      <c r="W66" s="27">
        <f t="shared" si="21"/>
        <v>0.018700827944144665</v>
      </c>
      <c r="X66" s="27">
        <f t="shared" si="21"/>
        <v>0.01760607451291251</v>
      </c>
      <c r="Y66" s="27">
        <f t="shared" si="21"/>
        <v>0.01590482797605283</v>
      </c>
      <c r="Z66" s="27">
        <f t="shared" si="21"/>
        <v>0.018464741657991342</v>
      </c>
      <c r="AA66" s="27">
        <f t="shared" si="21"/>
        <v>0.017075936668556724</v>
      </c>
      <c r="AB66" s="27">
        <f t="shared" si="21"/>
        <v>0.016065573770491802</v>
      </c>
      <c r="AC66" s="27">
        <f t="shared" si="21"/>
        <v>0.016920873009185135</v>
      </c>
      <c r="AD66" s="27">
        <f t="shared" si="21"/>
        <v>0.016384841398333034</v>
      </c>
      <c r="AE66" s="27">
        <f t="shared" si="20"/>
        <v>0.02089564994444919</v>
      </c>
      <c r="AF66" s="27">
        <f t="shared" si="20"/>
        <v>0.019508578445569445</v>
      </c>
      <c r="AG66" s="27">
        <f t="shared" si="17"/>
        <v>0.019672344722014134</v>
      </c>
      <c r="AH66" s="27">
        <f t="shared" si="17"/>
        <v>0.018386573249416144</v>
      </c>
      <c r="AI66" s="27">
        <f t="shared" si="18"/>
        <v>0.017828110108202053</v>
      </c>
      <c r="AJ66" s="27">
        <f t="shared" si="18"/>
        <v>0.01716592394236726</v>
      </c>
    </row>
    <row r="67" spans="2:36" ht="12.75">
      <c r="B67" s="18" t="s">
        <v>38</v>
      </c>
      <c r="C67" s="19" t="s">
        <v>113</v>
      </c>
      <c r="D67" s="27">
        <f t="shared" si="21"/>
        <v>0.029318705779473726</v>
      </c>
      <c r="E67" s="27">
        <f t="shared" si="21"/>
        <v>0.029765828274067648</v>
      </c>
      <c r="F67" s="27">
        <f t="shared" si="21"/>
        <v>0.029229393986690694</v>
      </c>
      <c r="G67" s="27">
        <f t="shared" si="21"/>
        <v>0.03293045838989245</v>
      </c>
      <c r="H67" s="27">
        <f t="shared" si="21"/>
        <v>0.03569509091093467</v>
      </c>
      <c r="I67" s="27">
        <f t="shared" si="21"/>
        <v>0.031653161644103894</v>
      </c>
      <c r="J67" s="27">
        <f t="shared" si="21"/>
        <v>0.027522521165376155</v>
      </c>
      <c r="K67" s="27">
        <f t="shared" si="21"/>
        <v>0.028769484270535425</v>
      </c>
      <c r="L67" s="27">
        <f t="shared" si="21"/>
        <v>0.026872272790096154</v>
      </c>
      <c r="M67" s="27">
        <f t="shared" si="21"/>
        <v>0.02300589493452971</v>
      </c>
      <c r="N67" s="27">
        <f t="shared" si="21"/>
        <v>0.025326426126208005</v>
      </c>
      <c r="O67" s="27">
        <f t="shared" si="21"/>
        <v>0.028692579505300353</v>
      </c>
      <c r="P67" s="27">
        <f t="shared" si="21"/>
        <v>0.02820217319723411</v>
      </c>
      <c r="Q67" s="27">
        <f t="shared" si="21"/>
        <v>0.024355091764877587</v>
      </c>
      <c r="R67" s="27">
        <f t="shared" si="21"/>
        <v>0.02544080604534005</v>
      </c>
      <c r="S67" s="27">
        <f t="shared" si="21"/>
        <v>0.027810694170141176</v>
      </c>
      <c r="T67" s="27">
        <f t="shared" si="21"/>
        <v>0.02592473377860036</v>
      </c>
      <c r="U67" s="27">
        <f t="shared" si="21"/>
        <v>0.02595990965556183</v>
      </c>
      <c r="V67" s="27">
        <f t="shared" si="21"/>
        <v>0.023904311662460456</v>
      </c>
      <c r="W67" s="27">
        <f t="shared" si="21"/>
        <v>0.023190674300778515</v>
      </c>
      <c r="X67" s="27">
        <f t="shared" si="21"/>
        <v>0.020609954524594267</v>
      </c>
      <c r="Y67" s="27">
        <f t="shared" si="21"/>
        <v>0.01849996145841363</v>
      </c>
      <c r="Z67" s="27">
        <f t="shared" si="21"/>
        <v>0.021861815790915565</v>
      </c>
      <c r="AA67" s="27">
        <f t="shared" si="21"/>
        <v>0.023225890871025428</v>
      </c>
      <c r="AB67" s="27">
        <f t="shared" si="21"/>
        <v>0.0230849478390462</v>
      </c>
      <c r="AC67" s="27">
        <f t="shared" si="21"/>
        <v>0.02229712648521109</v>
      </c>
      <c r="AD67" s="27">
        <f t="shared" si="21"/>
        <v>0.022081309588055407</v>
      </c>
      <c r="AE67" s="27">
        <f t="shared" si="20"/>
        <v>0.026354585078198444</v>
      </c>
      <c r="AF67" s="27">
        <f t="shared" si="20"/>
        <v>0.0270386116935624</v>
      </c>
      <c r="AG67" s="27">
        <f t="shared" si="17"/>
        <v>0.02362961274142592</v>
      </c>
      <c r="AH67" s="27">
        <f t="shared" si="17"/>
        <v>0.02196888730554566</v>
      </c>
      <c r="AI67" s="27">
        <f t="shared" si="18"/>
        <v>0.022387920240698175</v>
      </c>
      <c r="AJ67" s="27">
        <f t="shared" si="18"/>
        <v>0.01980376091604884</v>
      </c>
    </row>
    <row r="68" spans="2:36" ht="12.75">
      <c r="B68" s="18" t="s">
        <v>39</v>
      </c>
      <c r="C68" s="19" t="s">
        <v>113</v>
      </c>
      <c r="D68" s="27">
        <f t="shared" si="21"/>
        <v>0.024787343986008428</v>
      </c>
      <c r="E68" s="27">
        <f t="shared" si="21"/>
        <v>0.021925411968777102</v>
      </c>
      <c r="F68" s="27">
        <f t="shared" si="21"/>
        <v>0.024674716574201512</v>
      </c>
      <c r="G68" s="27">
        <f t="shared" si="21"/>
        <v>0.0250078312623995</v>
      </c>
      <c r="H68" s="27">
        <f t="shared" si="21"/>
        <v>0.02709581900966404</v>
      </c>
      <c r="I68" s="27">
        <f t="shared" si="21"/>
        <v>0.02381943254424833</v>
      </c>
      <c r="J68" s="27">
        <f t="shared" si="21"/>
        <v>0.02681449790605887</v>
      </c>
      <c r="K68" s="27">
        <f t="shared" si="21"/>
        <v>0.023712570313831702</v>
      </c>
      <c r="L68" s="27">
        <f t="shared" si="21"/>
        <v>0.02734614093628448</v>
      </c>
      <c r="M68" s="27">
        <f t="shared" si="21"/>
        <v>0.024205748865355523</v>
      </c>
      <c r="N68" s="27">
        <f t="shared" si="21"/>
        <v>0.020055136477930263</v>
      </c>
      <c r="O68" s="27">
        <f t="shared" si="21"/>
        <v>0.02237253912165573</v>
      </c>
      <c r="P68" s="27">
        <f t="shared" si="21"/>
        <v>0.024892986499835363</v>
      </c>
      <c r="Q68" s="27">
        <f t="shared" si="21"/>
        <v>0.024665231510198126</v>
      </c>
      <c r="R68" s="27">
        <f t="shared" si="21"/>
        <v>0.026673737239825003</v>
      </c>
      <c r="S68" s="27">
        <f t="shared" si="21"/>
        <v>0.02141759929778363</v>
      </c>
      <c r="T68" s="27">
        <f t="shared" si="21"/>
        <v>0.024516509750274938</v>
      </c>
      <c r="U68" s="27">
        <f t="shared" si="21"/>
        <v>0.023771880293619423</v>
      </c>
      <c r="V68" s="27">
        <f t="shared" si="21"/>
        <v>0.022784630149646323</v>
      </c>
      <c r="W68" s="27">
        <f t="shared" si="21"/>
        <v>0.019442270461753924</v>
      </c>
      <c r="X68" s="27">
        <f t="shared" si="21"/>
        <v>0.02004672702240394</v>
      </c>
      <c r="Y68" s="27">
        <f t="shared" si="21"/>
        <v>0.021454816413576917</v>
      </c>
      <c r="Z68" s="27">
        <f t="shared" si="21"/>
        <v>0.01569776998520629</v>
      </c>
      <c r="AA68" s="27">
        <f t="shared" si="21"/>
        <v>0.018820604527413094</v>
      </c>
      <c r="AB68" s="27">
        <f t="shared" si="21"/>
        <v>0.019225037257824144</v>
      </c>
      <c r="AC68" s="27">
        <f t="shared" si="21"/>
        <v>0.01955001264009438</v>
      </c>
      <c r="AD68" s="27">
        <f t="shared" si="21"/>
        <v>0.02155663488637045</v>
      </c>
      <c r="AE68" s="27">
        <f t="shared" si="20"/>
        <v>0.019453465515767883</v>
      </c>
      <c r="AF68" s="27">
        <f t="shared" si="20"/>
        <v>0.020585952433359207</v>
      </c>
      <c r="AG68" s="27">
        <f t="shared" si="17"/>
        <v>0.018190404846431946</v>
      </c>
      <c r="AH68" s="27">
        <f t="shared" si="17"/>
        <v>0.0179511538613783</v>
      </c>
      <c r="AI68" s="27">
        <f t="shared" si="18"/>
        <v>0.020108015174450114</v>
      </c>
      <c r="AJ68" s="27">
        <f t="shared" si="18"/>
        <v>0.021702204192562097</v>
      </c>
    </row>
    <row r="69" spans="2:36" ht="25.5">
      <c r="B69" s="18" t="s">
        <v>40</v>
      </c>
      <c r="C69" s="19" t="s">
        <v>113</v>
      </c>
      <c r="D69" s="27">
        <f t="shared" si="21"/>
        <v>0.08126242149614436</v>
      </c>
      <c r="E69" s="27">
        <f t="shared" si="21"/>
        <v>0.08202948829141371</v>
      </c>
      <c r="F69" s="27">
        <f t="shared" si="21"/>
        <v>0.08662400499453722</v>
      </c>
      <c r="G69" s="27">
        <f t="shared" si="21"/>
        <v>0.08598726114649681</v>
      </c>
      <c r="H69" s="27">
        <f t="shared" si="21"/>
        <v>0.09829332846582094</v>
      </c>
      <c r="I69" s="27">
        <f t="shared" si="21"/>
        <v>0.0906386937256726</v>
      </c>
      <c r="J69" s="27">
        <f t="shared" si="21"/>
        <v>0.08267301376879274</v>
      </c>
      <c r="K69" s="27">
        <f t="shared" si="21"/>
        <v>0.08145987613401769</v>
      </c>
      <c r="L69" s="27">
        <f t="shared" si="21"/>
        <v>0.07639149406677592</v>
      </c>
      <c r="M69" s="27">
        <f t="shared" si="21"/>
        <v>0.07019145495331003</v>
      </c>
      <c r="N69" s="27">
        <f t="shared" si="21"/>
        <v>0.07113211548365597</v>
      </c>
      <c r="O69" s="27">
        <f t="shared" si="21"/>
        <v>0.09209490156486623</v>
      </c>
      <c r="P69" s="27">
        <f t="shared" si="21"/>
        <v>0.10503786631544287</v>
      </c>
      <c r="Q69" s="27">
        <f t="shared" si="21"/>
        <v>0.09227569599007553</v>
      </c>
      <c r="R69" s="27">
        <f t="shared" si="21"/>
        <v>0.09341110963807504</v>
      </c>
      <c r="S69" s="27">
        <f t="shared" si="21"/>
        <v>0.09004461999853705</v>
      </c>
      <c r="T69" s="27">
        <f t="shared" si="21"/>
        <v>0.08747082964512755</v>
      </c>
      <c r="U69" s="27">
        <f t="shared" si="21"/>
        <v>0.08373800112930548</v>
      </c>
      <c r="V69" s="27">
        <f t="shared" si="21"/>
        <v>0.08514911314115096</v>
      </c>
      <c r="W69" s="27">
        <f t="shared" si="21"/>
        <v>0.08466861638587964</v>
      </c>
      <c r="X69" s="27">
        <f t="shared" si="21"/>
        <v>0.07785055696941884</v>
      </c>
      <c r="Y69" s="27">
        <f t="shared" si="21"/>
        <v>0.06482694827719108</v>
      </c>
      <c r="Z69" s="27">
        <f t="shared" si="21"/>
        <v>0.06665388197906964</v>
      </c>
      <c r="AA69" s="27">
        <f t="shared" si="21"/>
        <v>0.07571858507436646</v>
      </c>
      <c r="AB69" s="27">
        <f t="shared" si="21"/>
        <v>0.08871833084947839</v>
      </c>
      <c r="AC69" s="27">
        <f t="shared" si="21"/>
        <v>0.08767169461531979</v>
      </c>
      <c r="AD69" s="27">
        <f t="shared" si="21"/>
        <v>0.09040894645319901</v>
      </c>
      <c r="AE69" s="27">
        <f t="shared" si="20"/>
        <v>0.09178702674985044</v>
      </c>
      <c r="AF69" s="27">
        <f t="shared" si="20"/>
        <v>0.09352301294007252</v>
      </c>
      <c r="AG69" s="27">
        <f t="shared" si="17"/>
        <v>0.08083900596032961</v>
      </c>
      <c r="AH69" s="27">
        <f t="shared" si="17"/>
        <v>0.08247239045244033</v>
      </c>
      <c r="AI69" s="27">
        <f t="shared" si="18"/>
        <v>0.07581618732597036</v>
      </c>
      <c r="AJ69" s="27">
        <f t="shared" si="18"/>
        <v>0.07787614156391759</v>
      </c>
    </row>
    <row r="70" spans="2:36" ht="12.75">
      <c r="B70" s="18" t="s">
        <v>41</v>
      </c>
      <c r="C70" s="19" t="s">
        <v>113</v>
      </c>
      <c r="D70" s="27">
        <f t="shared" si="21"/>
        <v>0.05393115509976946</v>
      </c>
      <c r="E70" s="27">
        <f t="shared" si="21"/>
        <v>0.055871639202081526</v>
      </c>
      <c r="F70" s="27">
        <f t="shared" si="21"/>
        <v>0.051435220000851344</v>
      </c>
      <c r="G70" s="27">
        <f t="shared" si="21"/>
        <v>0.049454422052834915</v>
      </c>
      <c r="H70" s="27">
        <f t="shared" si="21"/>
        <v>0.04603855475444414</v>
      </c>
      <c r="I70" s="27">
        <f t="shared" si="21"/>
        <v>0.047002374599133395</v>
      </c>
      <c r="J70" s="27">
        <f t="shared" si="21"/>
        <v>0.0490042481395559</v>
      </c>
      <c r="K70" s="27">
        <f t="shared" si="21"/>
        <v>0.051970681262902704</v>
      </c>
      <c r="L70" s="27">
        <f t="shared" si="21"/>
        <v>0.051118526270065356</v>
      </c>
      <c r="M70" s="27">
        <f t="shared" si="21"/>
        <v>0.0500286921592154</v>
      </c>
      <c r="N70" s="27">
        <f t="shared" si="21"/>
        <v>0.0496228301372353</v>
      </c>
      <c r="O70" s="27">
        <f t="shared" si="21"/>
        <v>0.05074204946996466</v>
      </c>
      <c r="P70" s="27">
        <f t="shared" si="21"/>
        <v>0.04688837668752058</v>
      </c>
      <c r="Q70" s="27">
        <f t="shared" si="21"/>
        <v>0.043054694056263</v>
      </c>
      <c r="R70" s="27">
        <f t="shared" si="21"/>
        <v>0.04006363515842503</v>
      </c>
      <c r="S70" s="27">
        <f t="shared" si="21"/>
        <v>0.04102113963865116</v>
      </c>
      <c r="T70" s="27">
        <f t="shared" si="21"/>
        <v>0.04089214345108769</v>
      </c>
      <c r="U70" s="27">
        <f t="shared" si="21"/>
        <v>0.0410643704121965</v>
      </c>
      <c r="V70" s="27">
        <f t="shared" si="21"/>
        <v>0.039384352895176486</v>
      </c>
      <c r="W70" s="27">
        <f t="shared" si="21"/>
        <v>0.04197388474687976</v>
      </c>
      <c r="X70" s="27">
        <f t="shared" si="21"/>
        <v>0.04197087905210897</v>
      </c>
      <c r="Y70" s="27">
        <f t="shared" si="21"/>
        <v>0.04175338523600298</v>
      </c>
      <c r="Z70" s="27">
        <f t="shared" si="21"/>
        <v>0.041121034463864996</v>
      </c>
      <c r="AA70" s="27">
        <f t="shared" si="21"/>
        <v>0.04283159593492389</v>
      </c>
      <c r="AB70" s="27">
        <f t="shared" si="21"/>
        <v>0.042071535022354695</v>
      </c>
      <c r="AC70" s="27">
        <f t="shared" si="21"/>
        <v>0.04385270076683239</v>
      </c>
      <c r="AD70" s="27">
        <f t="shared" si="21"/>
        <v>0.041958985429034</v>
      </c>
      <c r="AE70" s="27">
        <f t="shared" si="20"/>
        <v>0.03666353303136484</v>
      </c>
      <c r="AF70" s="27">
        <f t="shared" si="20"/>
        <v>0.03636426825453829</v>
      </c>
      <c r="AG70" s="27">
        <f t="shared" si="17"/>
        <v>0.03820473569358043</v>
      </c>
      <c r="AH70" s="27">
        <f t="shared" si="17"/>
        <v>0.03875232553536793</v>
      </c>
      <c r="AI70" s="27">
        <f t="shared" si="18"/>
        <v>0.03651585655285829</v>
      </c>
      <c r="AJ70" s="27">
        <f t="shared" si="18"/>
        <v>0.04110629283987131</v>
      </c>
    </row>
    <row r="71" spans="2:36" ht="12.75">
      <c r="B71" s="18" t="s">
        <v>42</v>
      </c>
      <c r="C71" s="19" t="s">
        <v>113</v>
      </c>
      <c r="D71" s="27">
        <f t="shared" si="21"/>
        <v>0.04683997138087288</v>
      </c>
      <c r="E71" s="27">
        <f t="shared" si="21"/>
        <v>0.04402428447528187</v>
      </c>
      <c r="F71" s="27">
        <f t="shared" si="21"/>
        <v>0.045504207046270416</v>
      </c>
      <c r="G71" s="27">
        <f t="shared" si="21"/>
        <v>0.04230186906129268</v>
      </c>
      <c r="H71" s="27">
        <f t="shared" si="21"/>
        <v>0.03954853822518329</v>
      </c>
      <c r="I71" s="27">
        <f t="shared" si="21"/>
        <v>0.03894832186834439</v>
      </c>
      <c r="J71" s="27">
        <f t="shared" si="21"/>
        <v>0.03146937422795336</v>
      </c>
      <c r="K71" s="27">
        <f t="shared" si="21"/>
        <v>0.03151574840432584</v>
      </c>
      <c r="L71" s="27">
        <f t="shared" si="21"/>
        <v>0.025154500760163484</v>
      </c>
      <c r="M71" s="27">
        <f t="shared" si="21"/>
        <v>0.019928008764150452</v>
      </c>
      <c r="N71" s="27">
        <f t="shared" si="21"/>
        <v>0.021569874882607774</v>
      </c>
      <c r="O71" s="27">
        <f t="shared" si="21"/>
        <v>0.024997476022211005</v>
      </c>
      <c r="P71" s="27">
        <f t="shared" si="21"/>
        <v>0.03154428712545275</v>
      </c>
      <c r="Q71" s="27">
        <f t="shared" si="21"/>
        <v>0.02820447330973839</v>
      </c>
      <c r="R71" s="27">
        <f t="shared" si="21"/>
        <v>0.028980511732732334</v>
      </c>
      <c r="S71" s="27">
        <f t="shared" si="21"/>
        <v>0.030561041620949456</v>
      </c>
      <c r="T71" s="27">
        <f t="shared" si="21"/>
        <v>0.02654167001958102</v>
      </c>
      <c r="U71" s="27">
        <f t="shared" si="21"/>
        <v>0.029079616036137776</v>
      </c>
      <c r="V71" s="27">
        <f t="shared" si="21"/>
        <v>0.024366402445526607</v>
      </c>
      <c r="W71" s="27">
        <f t="shared" si="21"/>
        <v>0.02543559747909544</v>
      </c>
      <c r="X71" s="27">
        <f t="shared" si="21"/>
        <v>0.0270140598272769</v>
      </c>
      <c r="Y71" s="27">
        <f t="shared" si="21"/>
        <v>0.01934787635859092</v>
      </c>
      <c r="Z71" s="27">
        <f t="shared" si="21"/>
        <v>0.022272752177962853</v>
      </c>
      <c r="AA71" s="27">
        <f t="shared" si="21"/>
        <v>0.026388101365202598</v>
      </c>
      <c r="AB71" s="27">
        <f t="shared" si="21"/>
        <v>0.03466467958271237</v>
      </c>
      <c r="AC71" s="27">
        <f t="shared" si="21"/>
        <v>0.035577652313137274</v>
      </c>
      <c r="AD71" s="27">
        <f t="shared" si="21"/>
        <v>0.0337740600827487</v>
      </c>
      <c r="AE71" s="27">
        <f t="shared" si="20"/>
        <v>0.036204170583710796</v>
      </c>
      <c r="AF71" s="27">
        <f t="shared" si="20"/>
        <v>0.03151029297621668</v>
      </c>
      <c r="AG71" s="27">
        <f t="shared" si="17"/>
        <v>0.027619450867993355</v>
      </c>
      <c r="AH71" s="27">
        <f t="shared" si="17"/>
        <v>0.022622016387602424</v>
      </c>
      <c r="AI71" s="27">
        <f t="shared" si="18"/>
        <v>0.012614228850142961</v>
      </c>
      <c r="AJ71" s="27">
        <f t="shared" si="18"/>
        <v>0.01133070881876861</v>
      </c>
    </row>
    <row r="72" spans="2:36" ht="12.75">
      <c r="B72" s="18" t="s">
        <v>43</v>
      </c>
      <c r="C72" s="19" t="s">
        <v>113</v>
      </c>
      <c r="D72" s="27">
        <f t="shared" si="21"/>
        <v>0.01876142777645282</v>
      </c>
      <c r="E72" s="27">
        <f t="shared" si="21"/>
        <v>0.019618386816999133</v>
      </c>
      <c r="F72" s="27">
        <f t="shared" si="21"/>
        <v>0.017111965605800476</v>
      </c>
      <c r="G72" s="27">
        <f t="shared" si="21"/>
        <v>0.0147749817270544</v>
      </c>
      <c r="H72" s="27">
        <f t="shared" si="21"/>
        <v>0.010992465496435561</v>
      </c>
      <c r="I72" s="27">
        <f t="shared" si="21"/>
        <v>0.01612034566329653</v>
      </c>
      <c r="J72" s="27">
        <f t="shared" si="21"/>
        <v>0.01691723660028321</v>
      </c>
      <c r="K72" s="27">
        <f t="shared" si="21"/>
        <v>0.021212522964450083</v>
      </c>
      <c r="L72" s="27">
        <f t="shared" si="21"/>
        <v>0.020218374237368452</v>
      </c>
      <c r="M72" s="27">
        <f t="shared" si="21"/>
        <v>0.02475350826855861</v>
      </c>
      <c r="N72" s="27">
        <f t="shared" si="21"/>
        <v>0.02871944015268563</v>
      </c>
      <c r="O72" s="27">
        <f t="shared" si="21"/>
        <v>0.02414941948510853</v>
      </c>
      <c r="P72" s="27">
        <f t="shared" si="21"/>
        <v>0.018159367797168258</v>
      </c>
      <c r="Q72" s="27">
        <f t="shared" si="21"/>
        <v>0.022056408946619477</v>
      </c>
      <c r="R72" s="27">
        <f t="shared" si="21"/>
        <v>0.015550841840116665</v>
      </c>
      <c r="S72" s="27">
        <f t="shared" si="21"/>
        <v>0.016750786336039793</v>
      </c>
      <c r="T72" s="27">
        <f t="shared" si="21"/>
        <v>0.01449800166304552</v>
      </c>
      <c r="U72" s="27">
        <f t="shared" si="21"/>
        <v>0.019847543760587238</v>
      </c>
      <c r="V72" s="27">
        <f t="shared" si="21"/>
        <v>0.018963494828137775</v>
      </c>
      <c r="W72" s="27">
        <f t="shared" si="21"/>
        <v>0.022943526794908763</v>
      </c>
      <c r="X72" s="27">
        <f t="shared" si="21"/>
        <v>0.023113187867662397</v>
      </c>
      <c r="Y72" s="27">
        <f t="shared" si="21"/>
        <v>0.024666615277884836</v>
      </c>
      <c r="Z72" s="27">
        <f t="shared" si="21"/>
        <v>0.028847734370719413</v>
      </c>
      <c r="AA72" s="27">
        <f t="shared" si="21"/>
        <v>0.026518951454616826</v>
      </c>
      <c r="AB72" s="27">
        <f t="shared" si="21"/>
        <v>0.020521609538002982</v>
      </c>
      <c r="AC72" s="27">
        <f t="shared" si="21"/>
        <v>0.021403893149068848</v>
      </c>
      <c r="AD72" s="27">
        <f t="shared" si="21"/>
        <v>0.016264915752233614</v>
      </c>
      <c r="AE72" s="27">
        <f t="shared" si="20"/>
        <v>0.01578924878215537</v>
      </c>
      <c r="AF72" s="27">
        <f t="shared" si="20"/>
        <v>0.01437657117039886</v>
      </c>
      <c r="AG72" s="27">
        <f t="shared" si="17"/>
        <v>0.021170569651174153</v>
      </c>
      <c r="AH72" s="27">
        <f t="shared" si="17"/>
        <v>0.02141471717531568</v>
      </c>
      <c r="AI72" s="27">
        <f t="shared" si="18"/>
        <v>0.023995066434938612</v>
      </c>
      <c r="AJ72" s="27">
        <f t="shared" si="18"/>
        <v>0.02443995923342859</v>
      </c>
    </row>
    <row r="73" spans="2:36" ht="12.75">
      <c r="B73" s="18" t="s">
        <v>44</v>
      </c>
      <c r="C73" s="19" t="s">
        <v>113</v>
      </c>
      <c r="D73" s="27">
        <f t="shared" si="21"/>
        <v>0.014500357739088959</v>
      </c>
      <c r="E73" s="27">
        <f t="shared" si="21"/>
        <v>0.01621856027753686</v>
      </c>
      <c r="F73" s="27">
        <f t="shared" si="21"/>
        <v>0.01525320317266626</v>
      </c>
      <c r="G73" s="27">
        <f t="shared" si="21"/>
        <v>0.016328182102954995</v>
      </c>
      <c r="H73" s="27">
        <f t="shared" si="21"/>
        <v>0.01475464695324146</v>
      </c>
      <c r="I73" s="27">
        <f t="shared" si="21"/>
        <v>0.017772772895297315</v>
      </c>
      <c r="J73" s="27">
        <f t="shared" si="21"/>
        <v>0.015245096562321111</v>
      </c>
      <c r="K73" s="27">
        <f t="shared" si="21"/>
        <v>0.01668592208185761</v>
      </c>
      <c r="L73" s="27">
        <f t="shared" si="21"/>
        <v>0.012675972910537642</v>
      </c>
      <c r="M73" s="27">
        <f t="shared" si="21"/>
        <v>0.012259377119307215</v>
      </c>
      <c r="N73" s="27">
        <f t="shared" si="21"/>
        <v>0.012966160744039504</v>
      </c>
      <c r="O73" s="27">
        <f t="shared" si="21"/>
        <v>0.013669863705199395</v>
      </c>
      <c r="P73" s="27">
        <f t="shared" si="21"/>
        <v>0.014339809022061245</v>
      </c>
      <c r="Q73" s="27">
        <f t="shared" si="21"/>
        <v>0.014740759659940891</v>
      </c>
      <c r="R73" s="27">
        <f t="shared" si="21"/>
        <v>0.014543285165053692</v>
      </c>
      <c r="S73" s="27">
        <f t="shared" si="21"/>
        <v>0.018433179723502304</v>
      </c>
      <c r="T73" s="27">
        <f t="shared" si="21"/>
        <v>0.015101526246613556</v>
      </c>
      <c r="U73" s="27">
        <f t="shared" si="21"/>
        <v>0.01792772444946358</v>
      </c>
      <c r="V73" s="27">
        <f t="shared" si="21"/>
        <v>0.015106814061777983</v>
      </c>
      <c r="W73" s="27">
        <f t="shared" si="21"/>
        <v>0.016270544136425424</v>
      </c>
      <c r="X73" s="27">
        <f t="shared" si="21"/>
        <v>0.015874671450623722</v>
      </c>
      <c r="Y73" s="27">
        <f t="shared" si="21"/>
        <v>0.013232611320948637</v>
      </c>
      <c r="Z73" s="27">
        <f t="shared" si="21"/>
        <v>0.015149854802476577</v>
      </c>
      <c r="AA73" s="27">
        <f t="shared" si="21"/>
        <v>0.016966894927378202</v>
      </c>
      <c r="AB73" s="27">
        <f t="shared" si="21"/>
        <v>0.01819672131147541</v>
      </c>
      <c r="AC73" s="27">
        <f t="shared" si="21"/>
        <v>0.018757900058987108</v>
      </c>
      <c r="AD73" s="27">
        <f t="shared" si="21"/>
        <v>0.01806380044372489</v>
      </c>
      <c r="AE73" s="27">
        <f t="shared" si="20"/>
        <v>0.02137637808734296</v>
      </c>
      <c r="AF73" s="27">
        <f t="shared" si="20"/>
        <v>0.020053057772732013</v>
      </c>
      <c r="AG73" s="27">
        <f t="shared" si="17"/>
        <v>0.022391948669511122</v>
      </c>
      <c r="AH73" s="27">
        <f t="shared" si="17"/>
        <v>0.020603253770336064</v>
      </c>
      <c r="AI73" s="27">
        <f t="shared" si="18"/>
        <v>0.01818317729065052</v>
      </c>
      <c r="AJ73" s="27">
        <f t="shared" si="18"/>
        <v>0.017325792849863113</v>
      </c>
    </row>
    <row r="74" spans="2:36" ht="12.75">
      <c r="B74" s="18" t="s">
        <v>45</v>
      </c>
      <c r="C74" s="19" t="s">
        <v>113</v>
      </c>
      <c r="D74" s="27">
        <f t="shared" si="21"/>
        <v>0.01764846172191748</v>
      </c>
      <c r="E74" s="27">
        <f t="shared" si="21"/>
        <v>0.0200520381613183</v>
      </c>
      <c r="F74" s="27">
        <f t="shared" si="21"/>
        <v>0.019651801296876995</v>
      </c>
      <c r="G74" s="27">
        <f t="shared" si="21"/>
        <v>0.017803069854860604</v>
      </c>
      <c r="H74" s="27">
        <f t="shared" si="21"/>
        <v>0.017948951963737032</v>
      </c>
      <c r="I74" s="27">
        <f t="shared" si="21"/>
        <v>0.020979705745550685</v>
      </c>
      <c r="J74" s="27">
        <f t="shared" si="21"/>
        <v>0.018438733391582054</v>
      </c>
      <c r="K74" s="27">
        <f t="shared" si="21"/>
        <v>0.016894259360972746</v>
      </c>
      <c r="L74" s="27">
        <f t="shared" si="21"/>
        <v>0.012932651489722984</v>
      </c>
      <c r="M74" s="27">
        <f t="shared" si="21"/>
        <v>0.009677082789921227</v>
      </c>
      <c r="N74" s="27">
        <f t="shared" si="21"/>
        <v>0.010875821745584538</v>
      </c>
      <c r="O74" s="27">
        <f t="shared" si="21"/>
        <v>0.013912165572942958</v>
      </c>
      <c r="P74" s="27">
        <f aca="true" t="shared" si="22" ref="P74:AD74">P46/P$49</f>
        <v>0.015031280869278893</v>
      </c>
      <c r="Q74" s="27">
        <f t="shared" si="22"/>
        <v>0.016510380559711022</v>
      </c>
      <c r="R74" s="27">
        <f t="shared" si="22"/>
        <v>0.015497812541429139</v>
      </c>
      <c r="S74" s="27">
        <f t="shared" si="22"/>
        <v>0.01672152732060566</v>
      </c>
      <c r="T74" s="27">
        <f t="shared" si="22"/>
        <v>0.015892814033958317</v>
      </c>
      <c r="U74" s="27">
        <f t="shared" si="22"/>
        <v>0.017871259175607</v>
      </c>
      <c r="V74" s="27">
        <f t="shared" si="22"/>
        <v>0.014395905164753137</v>
      </c>
      <c r="W74" s="27">
        <f t="shared" si="22"/>
        <v>0.015467314742348725</v>
      </c>
      <c r="X74" s="27">
        <f t="shared" si="22"/>
        <v>0.013350577829696692</v>
      </c>
      <c r="Y74" s="27">
        <f t="shared" si="22"/>
        <v>0.00899303682006218</v>
      </c>
      <c r="Z74" s="27">
        <f t="shared" si="22"/>
        <v>0.009478932661224043</v>
      </c>
      <c r="AA74" s="27">
        <f t="shared" si="22"/>
        <v>0.015047760282636193</v>
      </c>
      <c r="AB74" s="27">
        <f t="shared" si="22"/>
        <v>0.01675111773472429</v>
      </c>
      <c r="AC74" s="27">
        <f t="shared" si="22"/>
        <v>0.01663436420325272</v>
      </c>
      <c r="AD74" s="27">
        <f t="shared" si="22"/>
        <v>0.017314265155603525</v>
      </c>
      <c r="AE74" s="27">
        <f aca="true" t="shared" si="23" ref="AE74:AF79">AE46/AE$49</f>
        <v>0.018705666182377574</v>
      </c>
      <c r="AF74" s="27">
        <f t="shared" si="23"/>
        <v>0.019265300448326594</v>
      </c>
      <c r="AG74" s="27">
        <f t="shared" si="17"/>
        <v>0.020274891704393706</v>
      </c>
      <c r="AH74" s="27">
        <f t="shared" si="17"/>
        <v>0.019118869492934332</v>
      </c>
      <c r="AI74" s="27">
        <f t="shared" si="18"/>
        <v>0.015267888845284147</v>
      </c>
      <c r="AJ74" s="27">
        <f t="shared" si="18"/>
        <v>0.012349873104054675</v>
      </c>
    </row>
    <row r="75" spans="2:36" ht="12.75">
      <c r="B75" s="18" t="s">
        <v>46</v>
      </c>
      <c r="C75" s="19" t="s">
        <v>113</v>
      </c>
      <c r="D75" s="27">
        <f aca="true" t="shared" si="24" ref="D75:AD79">D47/D$49</f>
        <v>0.044534541696478254</v>
      </c>
      <c r="E75" s="27">
        <f t="shared" si="24"/>
        <v>0.045741543798785776</v>
      </c>
      <c r="F75" s="27">
        <f t="shared" si="24"/>
        <v>0.03796983413028364</v>
      </c>
      <c r="G75" s="27">
        <f t="shared" si="24"/>
        <v>0.038451498381539106</v>
      </c>
      <c r="H75" s="27">
        <f t="shared" si="24"/>
        <v>0.031375173658645415</v>
      </c>
      <c r="I75" s="27">
        <f t="shared" si="24"/>
        <v>0.03864231682538128</v>
      </c>
      <c r="J75" s="27">
        <f t="shared" si="24"/>
        <v>0.03952878792443735</v>
      </c>
      <c r="K75" s="27">
        <f t="shared" si="24"/>
        <v>0.04755771889619122</v>
      </c>
      <c r="L75" s="27">
        <f t="shared" si="24"/>
        <v>0.05084210318478883</v>
      </c>
      <c r="M75" s="27">
        <f t="shared" si="24"/>
        <v>0.059053680421513904</v>
      </c>
      <c r="N75" s="27">
        <f t="shared" si="24"/>
        <v>0.0677693962252719</v>
      </c>
      <c r="O75" s="27">
        <f t="shared" si="24"/>
        <v>0.05084300858152448</v>
      </c>
      <c r="P75" s="27">
        <f t="shared" si="24"/>
        <v>0.04221270991109648</v>
      </c>
      <c r="Q75" s="27">
        <f t="shared" si="24"/>
        <v>0.04318239865727734</v>
      </c>
      <c r="R75" s="27">
        <f t="shared" si="24"/>
        <v>0.03674930399045473</v>
      </c>
      <c r="S75" s="27">
        <f t="shared" si="24"/>
        <v>0.03964596591324702</v>
      </c>
      <c r="T75" s="27">
        <f t="shared" si="24"/>
        <v>0.03668088302352405</v>
      </c>
      <c r="U75" s="27">
        <f t="shared" si="24"/>
        <v>0.0414455110107284</v>
      </c>
      <c r="V75" s="27">
        <f t="shared" si="24"/>
        <v>0.039899761845519494</v>
      </c>
      <c r="W75" s="27">
        <f t="shared" si="24"/>
        <v>0.04611360547019813</v>
      </c>
      <c r="X75" s="27">
        <f t="shared" si="24"/>
        <v>0.04808294046476699</v>
      </c>
      <c r="Y75" s="27">
        <f t="shared" si="24"/>
        <v>0.053290166756597035</v>
      </c>
      <c r="Z75" s="27">
        <f t="shared" si="24"/>
        <v>0.06164045805709276</v>
      </c>
      <c r="AA75" s="27">
        <f t="shared" si="24"/>
        <v>0.05018100929035635</v>
      </c>
      <c r="AB75" s="27">
        <f t="shared" si="24"/>
        <v>0.042473919523099854</v>
      </c>
      <c r="AC75" s="27">
        <f t="shared" si="24"/>
        <v>0.04346507120586501</v>
      </c>
      <c r="AD75" s="27">
        <f t="shared" si="24"/>
        <v>0.03711698746776998</v>
      </c>
      <c r="AE75" s="27">
        <f t="shared" si="23"/>
        <v>0.037176309717118196</v>
      </c>
      <c r="AF75" s="27">
        <f t="shared" si="23"/>
        <v>0.03598197425887096</v>
      </c>
      <c r="AG75" s="27">
        <f t="shared" si="17"/>
        <v>0.0435788033742631</v>
      </c>
      <c r="AH75" s="27">
        <f t="shared" si="17"/>
        <v>0.0441752760954756</v>
      </c>
      <c r="AI75" s="27">
        <f t="shared" si="18"/>
        <v>0.04914877314944591</v>
      </c>
      <c r="AJ75" s="27">
        <f t="shared" si="18"/>
        <v>0.048160508383125834</v>
      </c>
    </row>
    <row r="76" spans="2:36" ht="13.5" thickBot="1">
      <c r="B76" s="20" t="s">
        <v>47</v>
      </c>
      <c r="C76" s="21" t="s">
        <v>113</v>
      </c>
      <c r="D76" s="28">
        <f t="shared" si="24"/>
        <v>0.018554734080610542</v>
      </c>
      <c r="E76" s="28">
        <f t="shared" si="24"/>
        <v>0.01868169991326973</v>
      </c>
      <c r="F76" s="28">
        <f t="shared" si="24"/>
        <v>0.014089703023681484</v>
      </c>
      <c r="G76" s="28">
        <f t="shared" si="24"/>
        <v>0.01267359298318889</v>
      </c>
      <c r="H76" s="28">
        <f t="shared" si="24"/>
        <v>0.008538427996308802</v>
      </c>
      <c r="I76" s="28">
        <f t="shared" si="24"/>
        <v>0.012338123332272516</v>
      </c>
      <c r="J76" s="28">
        <f t="shared" si="24"/>
        <v>0.014958874393660932</v>
      </c>
      <c r="K76" s="28">
        <f t="shared" si="24"/>
        <v>0.019451125968294854</v>
      </c>
      <c r="L76" s="28">
        <f t="shared" si="24"/>
        <v>0.025154500760163484</v>
      </c>
      <c r="M76" s="28">
        <f t="shared" si="24"/>
        <v>0.029944180708435495</v>
      </c>
      <c r="N76" s="28">
        <f t="shared" si="24"/>
        <v>0.033263655366718166</v>
      </c>
      <c r="O76" s="28">
        <f t="shared" si="24"/>
        <v>0.02647147905098435</v>
      </c>
      <c r="P76" s="28">
        <f t="shared" si="24"/>
        <v>0.016134343101745142</v>
      </c>
      <c r="Q76" s="28">
        <f t="shared" si="24"/>
        <v>0.018061079286313717</v>
      </c>
      <c r="R76" s="28">
        <f t="shared" si="24"/>
        <v>0.011560387113880419</v>
      </c>
      <c r="S76" s="28">
        <f t="shared" si="24"/>
        <v>0.011864530758539975</v>
      </c>
      <c r="T76" s="28">
        <f t="shared" si="24"/>
        <v>0.010514739411496473</v>
      </c>
      <c r="U76" s="28">
        <f t="shared" si="24"/>
        <v>0.015711462450592885</v>
      </c>
      <c r="V76" s="28">
        <f t="shared" si="24"/>
        <v>0.01428926883019941</v>
      </c>
      <c r="W76" s="28">
        <f t="shared" si="24"/>
        <v>0.018577254191209785</v>
      </c>
      <c r="X76" s="28">
        <f t="shared" si="24"/>
        <v>0.021903291751846136</v>
      </c>
      <c r="Y76" s="28">
        <f t="shared" si="24"/>
        <v>0.029651327115290733</v>
      </c>
      <c r="Z76" s="28">
        <f t="shared" si="24"/>
        <v>0.03240918305846255</v>
      </c>
      <c r="AA76" s="28">
        <f t="shared" si="24"/>
        <v>0.025428534042831595</v>
      </c>
      <c r="AB76" s="28">
        <f t="shared" si="24"/>
        <v>0.01721311475409836</v>
      </c>
      <c r="AC76" s="28">
        <f t="shared" si="24"/>
        <v>0.01641526923401028</v>
      </c>
      <c r="AD76" s="28">
        <f t="shared" si="24"/>
        <v>0.012532230017389219</v>
      </c>
      <c r="AE76" s="28">
        <f t="shared" si="23"/>
        <v>0.009347491667378856</v>
      </c>
      <c r="AF76" s="28">
        <f t="shared" si="23"/>
        <v>0.008700084568065708</v>
      </c>
      <c r="AG76" s="28">
        <f t="shared" si="17"/>
        <v>0.014835683809399734</v>
      </c>
      <c r="AH76" s="28">
        <f t="shared" si="17"/>
        <v>0.014962593516209476</v>
      </c>
      <c r="AI76" s="28">
        <f t="shared" si="18"/>
        <v>0.01823924052998449</v>
      </c>
      <c r="AJ76" s="28">
        <f t="shared" si="18"/>
        <v>0.01874462940388881</v>
      </c>
    </row>
    <row r="77" spans="2:36" ht="13.5" thickTop="1">
      <c r="B77" s="22" t="s">
        <v>64</v>
      </c>
      <c r="C77" s="23" t="s">
        <v>113</v>
      </c>
      <c r="D77" s="29">
        <f t="shared" si="24"/>
        <v>1</v>
      </c>
      <c r="E77" s="29">
        <f t="shared" si="24"/>
        <v>1</v>
      </c>
      <c r="F77" s="29">
        <f t="shared" si="24"/>
        <v>1</v>
      </c>
      <c r="G77" s="29">
        <f t="shared" si="24"/>
        <v>1</v>
      </c>
      <c r="H77" s="29">
        <f t="shared" si="24"/>
        <v>1</v>
      </c>
      <c r="I77" s="29">
        <f t="shared" si="24"/>
        <v>1</v>
      </c>
      <c r="J77" s="29">
        <f t="shared" si="24"/>
        <v>1</v>
      </c>
      <c r="K77" s="29">
        <f t="shared" si="24"/>
        <v>1</v>
      </c>
      <c r="L77" s="29">
        <f t="shared" si="24"/>
        <v>1</v>
      </c>
      <c r="M77" s="29">
        <f t="shared" si="24"/>
        <v>1</v>
      </c>
      <c r="N77" s="29">
        <f t="shared" si="24"/>
        <v>1</v>
      </c>
      <c r="O77" s="29">
        <f t="shared" si="24"/>
        <v>1</v>
      </c>
      <c r="P77" s="29">
        <f t="shared" si="24"/>
        <v>1</v>
      </c>
      <c r="Q77" s="29">
        <f t="shared" si="24"/>
        <v>1</v>
      </c>
      <c r="R77" s="29">
        <f t="shared" si="24"/>
        <v>1</v>
      </c>
      <c r="S77" s="29">
        <f t="shared" si="24"/>
        <v>1</v>
      </c>
      <c r="T77" s="29">
        <f t="shared" si="24"/>
        <v>1</v>
      </c>
      <c r="U77" s="29">
        <f t="shared" si="24"/>
        <v>1</v>
      </c>
      <c r="V77" s="29">
        <f t="shared" si="24"/>
        <v>1</v>
      </c>
      <c r="W77" s="29">
        <f t="shared" si="24"/>
        <v>1</v>
      </c>
      <c r="X77" s="29">
        <f t="shared" si="24"/>
        <v>1</v>
      </c>
      <c r="Y77" s="29">
        <f t="shared" si="24"/>
        <v>1</v>
      </c>
      <c r="Z77" s="29">
        <f t="shared" si="24"/>
        <v>1</v>
      </c>
      <c r="AA77" s="29">
        <f t="shared" si="24"/>
        <v>1</v>
      </c>
      <c r="AB77" s="29">
        <f t="shared" si="24"/>
        <v>1</v>
      </c>
      <c r="AC77" s="29">
        <f t="shared" si="24"/>
        <v>1</v>
      </c>
      <c r="AD77" s="29">
        <f t="shared" si="24"/>
        <v>1</v>
      </c>
      <c r="AE77" s="29">
        <f t="shared" si="23"/>
        <v>1</v>
      </c>
      <c r="AF77" s="29">
        <f t="shared" si="23"/>
        <v>1</v>
      </c>
      <c r="AG77" s="29">
        <f t="shared" si="17"/>
        <v>1</v>
      </c>
      <c r="AH77" s="29">
        <f t="shared" si="17"/>
        <v>1</v>
      </c>
      <c r="AI77" s="29">
        <f t="shared" si="18"/>
        <v>1</v>
      </c>
      <c r="AJ77" s="29">
        <f t="shared" si="18"/>
        <v>1</v>
      </c>
    </row>
    <row r="78" spans="2:36" ht="12.75">
      <c r="B78" s="25" t="s">
        <v>65</v>
      </c>
      <c r="C78" s="19" t="s">
        <v>113</v>
      </c>
      <c r="D78" s="27">
        <f t="shared" si="24"/>
        <v>0.34099689959456236</v>
      </c>
      <c r="E78" s="27">
        <f t="shared" si="24"/>
        <v>0.34520381613183</v>
      </c>
      <c r="F78" s="27">
        <f t="shared" si="24"/>
        <v>0.33684748215729954</v>
      </c>
      <c r="G78" s="27">
        <f t="shared" si="24"/>
        <v>0.3378798162263757</v>
      </c>
      <c r="H78" s="27">
        <f t="shared" si="24"/>
        <v>0.337176639996755</v>
      </c>
      <c r="I78" s="27">
        <f t="shared" si="24"/>
        <v>0.3358711351563074</v>
      </c>
      <c r="J78" s="27">
        <f t="shared" si="24"/>
        <v>0.35069747823205083</v>
      </c>
      <c r="K78" s="27">
        <f t="shared" si="24"/>
        <v>0.3654425273205932</v>
      </c>
      <c r="L78" s="27">
        <f t="shared" si="24"/>
        <v>0.3827077615653444</v>
      </c>
      <c r="M78" s="27">
        <f t="shared" si="24"/>
        <v>0.4111586415566801</v>
      </c>
      <c r="N78" s="27">
        <f t="shared" si="24"/>
        <v>0.4061619558302281</v>
      </c>
      <c r="O78" s="27">
        <f t="shared" si="24"/>
        <v>0.3832811711256941</v>
      </c>
      <c r="P78" s="27">
        <f t="shared" si="24"/>
        <v>0.3779716825814949</v>
      </c>
      <c r="Q78" s="27">
        <f t="shared" si="24"/>
        <v>0.4026343634837815</v>
      </c>
      <c r="R78" s="27">
        <f t="shared" si="24"/>
        <v>0.40574042158292456</v>
      </c>
      <c r="S78" s="27">
        <f t="shared" si="24"/>
        <v>0.3971765050106064</v>
      </c>
      <c r="T78" s="27">
        <f t="shared" si="24"/>
        <v>0.40008315227595825</v>
      </c>
      <c r="U78" s="27">
        <f t="shared" si="24"/>
        <v>0.3947487295313382</v>
      </c>
      <c r="V78" s="27">
        <f t="shared" si="24"/>
        <v>0.41504638680553085</v>
      </c>
      <c r="W78" s="27">
        <f t="shared" si="24"/>
        <v>0.42006837747662396</v>
      </c>
      <c r="X78" s="27">
        <f t="shared" si="24"/>
        <v>0.4337686177979891</v>
      </c>
      <c r="Y78" s="27">
        <f t="shared" si="24"/>
        <v>0.4445386572111308</v>
      </c>
      <c r="Z78" s="27">
        <f t="shared" si="24"/>
        <v>0.43781162676017754</v>
      </c>
      <c r="AA78" s="27">
        <f t="shared" si="24"/>
        <v>0.42116282112792774</v>
      </c>
      <c r="AB78" s="27">
        <f t="shared" si="24"/>
        <v>0.40625931445603575</v>
      </c>
      <c r="AC78" s="27">
        <f t="shared" si="24"/>
        <v>0.40412909749726134</v>
      </c>
      <c r="AD78" s="27">
        <f t="shared" si="24"/>
        <v>0.39941236433411287</v>
      </c>
      <c r="AE78" s="27">
        <f t="shared" si="23"/>
        <v>0.38959276984873087</v>
      </c>
      <c r="AF78" s="27">
        <f t="shared" si="23"/>
        <v>0.3946895888601847</v>
      </c>
      <c r="AG78" s="27">
        <f t="shared" si="17"/>
        <v>0.40209425789010844</v>
      </c>
      <c r="AH78" s="27">
        <f t="shared" si="17"/>
        <v>0.4178838617741361</v>
      </c>
      <c r="AI78" s="27">
        <f t="shared" si="18"/>
        <v>0.4344527293453682</v>
      </c>
      <c r="AJ78" s="27">
        <f t="shared" si="18"/>
        <v>0.44113826662137046</v>
      </c>
    </row>
    <row r="79" spans="2:36" ht="12.75">
      <c r="B79" s="25" t="s">
        <v>66</v>
      </c>
      <c r="C79" s="19" t="s">
        <v>113</v>
      </c>
      <c r="D79" s="27">
        <f t="shared" si="24"/>
        <v>0.6590031004054376</v>
      </c>
      <c r="E79" s="27">
        <f t="shared" si="24"/>
        <v>0.65479618386817</v>
      </c>
      <c r="F79" s="27">
        <f t="shared" si="24"/>
        <v>0.6631525178427005</v>
      </c>
      <c r="G79" s="27">
        <f t="shared" si="24"/>
        <v>0.6621201837736244</v>
      </c>
      <c r="H79" s="27">
        <f t="shared" si="24"/>
        <v>0.662823360003245</v>
      </c>
      <c r="I79" s="27">
        <f t="shared" si="24"/>
        <v>0.6641288648436926</v>
      </c>
      <c r="J79" s="27">
        <f t="shared" si="24"/>
        <v>0.6493025217679491</v>
      </c>
      <c r="K79" s="27">
        <f t="shared" si="24"/>
        <v>0.6345574726794068</v>
      </c>
      <c r="L79" s="27">
        <f t="shared" si="24"/>
        <v>0.6172922384346555</v>
      </c>
      <c r="M79" s="27">
        <f t="shared" si="24"/>
        <v>0.58884135844332</v>
      </c>
      <c r="N79" s="27">
        <f t="shared" si="24"/>
        <v>0.5938380441697719</v>
      </c>
      <c r="O79" s="27">
        <f t="shared" si="24"/>
        <v>0.616718828874306</v>
      </c>
      <c r="P79" s="27">
        <f t="shared" si="24"/>
        <v>0.6220283174185051</v>
      </c>
      <c r="Q79" s="27">
        <f t="shared" si="24"/>
        <v>0.5973656365162184</v>
      </c>
      <c r="R79" s="27">
        <f t="shared" si="24"/>
        <v>0.5942595784170754</v>
      </c>
      <c r="S79" s="27">
        <f t="shared" si="24"/>
        <v>0.6028234949893936</v>
      </c>
      <c r="T79" s="27">
        <f t="shared" si="24"/>
        <v>0.5999168477240417</v>
      </c>
      <c r="U79" s="27">
        <f t="shared" si="24"/>
        <v>0.6052512704686618</v>
      </c>
      <c r="V79" s="27">
        <f t="shared" si="24"/>
        <v>0.5849536131944691</v>
      </c>
      <c r="W79" s="27">
        <f t="shared" si="24"/>
        <v>0.579931622523376</v>
      </c>
      <c r="X79" s="27">
        <f t="shared" si="24"/>
        <v>0.566231382202011</v>
      </c>
      <c r="Y79" s="27">
        <f t="shared" si="24"/>
        <v>0.5554613427888692</v>
      </c>
      <c r="Z79" s="27">
        <f t="shared" si="24"/>
        <v>0.5621883732398225</v>
      </c>
      <c r="AA79" s="27">
        <f t="shared" si="24"/>
        <v>0.5788371788720722</v>
      </c>
      <c r="AB79" s="27">
        <f t="shared" si="24"/>
        <v>0.5937406855439642</v>
      </c>
      <c r="AC79" s="27">
        <f t="shared" si="24"/>
        <v>0.5958709025027387</v>
      </c>
      <c r="AD79" s="27">
        <f t="shared" si="24"/>
        <v>0.6005876356658871</v>
      </c>
      <c r="AE79" s="27">
        <f t="shared" si="23"/>
        <v>0.6104072301512691</v>
      </c>
      <c r="AF79" s="27">
        <f t="shared" si="23"/>
        <v>0.6053104111398153</v>
      </c>
      <c r="AG79" s="27">
        <f t="shared" si="17"/>
        <v>0.5979057421098916</v>
      </c>
      <c r="AH79" s="27">
        <f t="shared" si="17"/>
        <v>0.5821161382258639</v>
      </c>
      <c r="AI79" s="27">
        <f t="shared" si="18"/>
        <v>0.5655472706546317</v>
      </c>
      <c r="AJ79" s="27">
        <f t="shared" si="18"/>
        <v>0.5588617333786295</v>
      </c>
    </row>
  </sheetData>
  <printOptions/>
  <pageMargins left="0.75" right="0.75" top="1" bottom="1" header="0.4921259845" footer="0.492125984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workbookViewId="0" topLeftCell="A30">
      <selection activeCell="AH65" sqref="AH65"/>
    </sheetView>
  </sheetViews>
  <sheetFormatPr defaultColWidth="11.421875" defaultRowHeight="12.75"/>
  <cols>
    <col min="1" max="1" width="42.57421875" style="0" customWidth="1"/>
  </cols>
  <sheetData>
    <row r="1" ht="12.75">
      <c r="A1" s="30" t="s">
        <v>68</v>
      </c>
    </row>
    <row r="2" ht="12.75">
      <c r="A2" s="31" t="s">
        <v>113</v>
      </c>
    </row>
    <row r="3" spans="1:34" ht="13.5" thickBot="1">
      <c r="A3" s="32"/>
      <c r="B3" s="67" t="s">
        <v>80</v>
      </c>
      <c r="C3" s="67" t="s">
        <v>81</v>
      </c>
      <c r="D3" s="67" t="s">
        <v>82</v>
      </c>
      <c r="E3" s="67" t="s">
        <v>83</v>
      </c>
      <c r="F3" s="67" t="s">
        <v>84</v>
      </c>
      <c r="G3" s="67" t="s">
        <v>85</v>
      </c>
      <c r="H3" s="67" t="s">
        <v>86</v>
      </c>
      <c r="I3" s="67" t="s">
        <v>87</v>
      </c>
      <c r="J3" s="67" t="s">
        <v>88</v>
      </c>
      <c r="K3" s="67" t="s">
        <v>89</v>
      </c>
      <c r="L3" s="67" t="s">
        <v>90</v>
      </c>
      <c r="M3" s="67" t="s">
        <v>91</v>
      </c>
      <c r="N3" s="67" t="s">
        <v>92</v>
      </c>
      <c r="O3" s="67" t="s">
        <v>93</v>
      </c>
      <c r="P3" s="67" t="s">
        <v>94</v>
      </c>
      <c r="Q3" s="67" t="s">
        <v>95</v>
      </c>
      <c r="R3" s="67" t="s">
        <v>96</v>
      </c>
      <c r="S3" s="67" t="s">
        <v>97</v>
      </c>
      <c r="T3" s="67" t="s">
        <v>98</v>
      </c>
      <c r="U3" s="67" t="s">
        <v>99</v>
      </c>
      <c r="V3" s="67" t="s">
        <v>100</v>
      </c>
      <c r="W3" s="67" t="s">
        <v>101</v>
      </c>
      <c r="X3" s="67" t="s">
        <v>102</v>
      </c>
      <c r="Y3" s="67" t="s">
        <v>103</v>
      </c>
      <c r="Z3" s="67" t="s">
        <v>104</v>
      </c>
      <c r="AA3" s="67" t="s">
        <v>105</v>
      </c>
      <c r="AB3" s="67" t="s">
        <v>106</v>
      </c>
      <c r="AC3" s="67" t="s">
        <v>107</v>
      </c>
      <c r="AD3" s="67" t="s">
        <v>108</v>
      </c>
      <c r="AE3" s="67" t="s">
        <v>109</v>
      </c>
      <c r="AF3" s="67" t="s">
        <v>110</v>
      </c>
      <c r="AG3" s="67" t="s">
        <v>114</v>
      </c>
      <c r="AH3" s="67" t="s">
        <v>115</v>
      </c>
    </row>
    <row r="4" spans="1:34" ht="13.5" thickTop="1">
      <c r="A4" s="33" t="s">
        <v>26</v>
      </c>
      <c r="B4" s="34">
        <f>'Tableau sortie'!D27</f>
        <v>11741</v>
      </c>
      <c r="C4" s="34">
        <f>'Tableau sortie'!E27</f>
        <v>10799</v>
      </c>
      <c r="D4" s="34">
        <f>'Tableau sortie'!F27</f>
        <v>13112</v>
      </c>
      <c r="E4" s="34">
        <f>'Tableau sortie'!G27</f>
        <v>14431</v>
      </c>
      <c r="F4" s="34">
        <f>'Tableau sortie'!H27</f>
        <v>18790</v>
      </c>
      <c r="G4" s="34">
        <f>'Tableau sortie'!I27</f>
        <v>14523</v>
      </c>
      <c r="H4" s="34">
        <f>'Tableau sortie'!J27</f>
        <v>12031</v>
      </c>
      <c r="I4" s="34">
        <f>'Tableau sortie'!K27</f>
        <v>9880</v>
      </c>
      <c r="J4" s="34">
        <f>'Tableau sortie'!L27</f>
        <v>10188</v>
      </c>
      <c r="K4" s="34">
        <f>'Tableau sortie'!M27</f>
        <v>7793</v>
      </c>
      <c r="L4" s="34">
        <f>'Tableau sortie'!N27</f>
        <v>6161</v>
      </c>
      <c r="M4" s="34">
        <f>'Tableau sortie'!O27</f>
        <v>10036</v>
      </c>
      <c r="N4" s="34">
        <f>'Tableau sortie'!P27</f>
        <v>12652</v>
      </c>
      <c r="O4" s="34">
        <f>'Tableau sortie'!Q27</f>
        <v>12328</v>
      </c>
      <c r="P4" s="34">
        <f>'Tableau sortie'!R27</f>
        <v>17404</v>
      </c>
      <c r="Q4" s="34">
        <f>'Tableau sortie'!S27</f>
        <v>15154</v>
      </c>
      <c r="R4" s="34">
        <f>'Tableau sortie'!T27</f>
        <v>17076</v>
      </c>
      <c r="S4" s="34">
        <f>'Tableau sortie'!U27</f>
        <v>15652</v>
      </c>
      <c r="T4" s="34">
        <f>'Tableau sortie'!V27</f>
        <v>13210</v>
      </c>
      <c r="U4" s="34">
        <f>'Tableau sortie'!W27</f>
        <v>11017</v>
      </c>
      <c r="V4" s="34">
        <f>'Tableau sortie'!X27</f>
        <v>11528</v>
      </c>
      <c r="W4" s="34">
        <f>'Tableau sortie'!Y27</f>
        <v>8777</v>
      </c>
      <c r="X4" s="34">
        <f>'Tableau sortie'!Z27</f>
        <v>7658</v>
      </c>
      <c r="Y4" s="34">
        <f>'Tableau sortie'!AA27</f>
        <v>10420</v>
      </c>
      <c r="Z4" s="34">
        <f>'Tableau sortie'!AB27</f>
        <v>15529</v>
      </c>
      <c r="AA4" s="34">
        <f>'Tableau sortie'!AC27</f>
        <v>13470</v>
      </c>
      <c r="AB4" s="34">
        <f>'Tableau sortie'!AD27</f>
        <v>15248</v>
      </c>
      <c r="AC4" s="34">
        <f>'Tableau sortie'!AE27</f>
        <v>20413</v>
      </c>
      <c r="AD4" s="34">
        <f>'Tableau sortie'!AF27</f>
        <v>19620</v>
      </c>
      <c r="AE4" s="34">
        <f>'Tableau sortie'!AG27</f>
        <v>13338</v>
      </c>
      <c r="AF4" s="34">
        <f>'Tableau sortie'!AH27</f>
        <v>11374</v>
      </c>
      <c r="AG4" s="34">
        <f>'Tableau sortie'!AI27</f>
        <v>12653</v>
      </c>
      <c r="AH4" s="34">
        <f>'Tableau sortie'!AJ27</f>
        <v>12193</v>
      </c>
    </row>
    <row r="5" spans="1:34" ht="12.75">
      <c r="A5" s="33" t="s">
        <v>27</v>
      </c>
      <c r="B5" s="34">
        <f>'Tableau sortie'!D28</f>
        <v>8263</v>
      </c>
      <c r="C5" s="34">
        <f>'Tableau sortie'!E28</f>
        <v>7642</v>
      </c>
      <c r="D5" s="34">
        <f>'Tableau sortie'!F28</f>
        <v>9281</v>
      </c>
      <c r="E5" s="34">
        <f>'Tableau sortie'!G28</f>
        <v>10222</v>
      </c>
      <c r="F5" s="34">
        <f>'Tableau sortie'!H28</f>
        <v>13326</v>
      </c>
      <c r="G5" s="34">
        <f>'Tableau sortie'!I28</f>
        <v>11651</v>
      </c>
      <c r="H5" s="34">
        <f>'Tableau sortie'!J28</f>
        <v>9885</v>
      </c>
      <c r="I5" s="34">
        <f>'Tableau sortie'!K28</f>
        <v>7980</v>
      </c>
      <c r="J5" s="34">
        <f>'Tableau sortie'!L28</f>
        <v>7488</v>
      </c>
      <c r="K5" s="34">
        <f>'Tableau sortie'!M28</f>
        <v>6298</v>
      </c>
      <c r="L5" s="34">
        <f>'Tableau sortie'!N28</f>
        <v>5674</v>
      </c>
      <c r="M5" s="34">
        <f>'Tableau sortie'!O28</f>
        <v>7330</v>
      </c>
      <c r="N5" s="34">
        <f>'Tableau sortie'!P28</f>
        <v>8895</v>
      </c>
      <c r="O5" s="34">
        <f>'Tableau sortie'!Q28</f>
        <v>8301</v>
      </c>
      <c r="P5" s="34">
        <f>'Tableau sortie'!R28</f>
        <v>11887</v>
      </c>
      <c r="Q5" s="34">
        <f>'Tableau sortie'!S28</f>
        <v>10818</v>
      </c>
      <c r="R5" s="34">
        <f>'Tableau sortie'!T28</f>
        <v>11582</v>
      </c>
      <c r="S5" s="34">
        <f>'Tableau sortie'!U28</f>
        <v>10817</v>
      </c>
      <c r="T5" s="34">
        <f>'Tableau sortie'!V28</f>
        <v>8978</v>
      </c>
      <c r="U5" s="34">
        <f>'Tableau sortie'!W28</f>
        <v>8045</v>
      </c>
      <c r="V5" s="34">
        <f>'Tableau sortie'!X28</f>
        <v>7739</v>
      </c>
      <c r="W5" s="34">
        <f>'Tableau sortie'!Y28</f>
        <v>6846</v>
      </c>
      <c r="X5" s="34">
        <f>'Tableau sortie'!Z28</f>
        <v>6643</v>
      </c>
      <c r="Y5" s="34">
        <f>'Tableau sortie'!AA28</f>
        <v>7328</v>
      </c>
      <c r="Z5" s="34">
        <f>'Tableau sortie'!AB28</f>
        <v>10228</v>
      </c>
      <c r="AA5" s="34">
        <f>'Tableau sortie'!AC28</f>
        <v>9162</v>
      </c>
      <c r="AB5" s="34">
        <f>'Tableau sortie'!AD28</f>
        <v>10281</v>
      </c>
      <c r="AC5" s="34">
        <f>'Tableau sortie'!AE28</f>
        <v>14805</v>
      </c>
      <c r="AD5" s="34">
        <f>'Tableau sortie'!AF28</f>
        <v>13415</v>
      </c>
      <c r="AE5" s="34">
        <f>'Tableau sortie'!AG28</f>
        <v>10057</v>
      </c>
      <c r="AF5" s="34">
        <f>'Tableau sortie'!AH28</f>
        <v>8551</v>
      </c>
      <c r="AG5" s="34">
        <f>'Tableau sortie'!AI28</f>
        <v>9176</v>
      </c>
      <c r="AH5" s="34">
        <f>'Tableau sortie'!AJ28</f>
        <v>8403</v>
      </c>
    </row>
    <row r="6" spans="1:34" ht="12.75">
      <c r="A6" s="33" t="s">
        <v>30</v>
      </c>
      <c r="B6" s="34">
        <f>'Tableau sortie'!D31</f>
        <v>546</v>
      </c>
      <c r="C6" s="34">
        <f>'Tableau sortie'!E31</f>
        <v>462</v>
      </c>
      <c r="D6" s="34">
        <f>'Tableau sortie'!F31</f>
        <v>633</v>
      </c>
      <c r="E6" s="34">
        <f>'Tableau sortie'!G31</f>
        <v>633</v>
      </c>
      <c r="F6" s="34">
        <f>'Tableau sortie'!H31</f>
        <v>886</v>
      </c>
      <c r="G6" s="34">
        <f>'Tableau sortie'!I31</f>
        <v>584</v>
      </c>
      <c r="H6" s="34">
        <f>'Tableau sortie'!J31</f>
        <v>579</v>
      </c>
      <c r="I6" s="34">
        <f>'Tableau sortie'!K31</f>
        <v>337</v>
      </c>
      <c r="J6" s="34">
        <f>'Tableau sortie'!L31</f>
        <v>400</v>
      </c>
      <c r="K6" s="34">
        <f>'Tableau sortie'!M31</f>
        <v>247</v>
      </c>
      <c r="L6" s="34">
        <f>'Tableau sortie'!N31</f>
        <v>181</v>
      </c>
      <c r="M6" s="34">
        <f>'Tableau sortie'!O31</f>
        <v>354</v>
      </c>
      <c r="N6" s="34">
        <f>'Tableau sortie'!P31</f>
        <v>426</v>
      </c>
      <c r="O6" s="34">
        <f>'Tableau sortie'!Q31</f>
        <v>394</v>
      </c>
      <c r="P6" s="34">
        <f>'Tableau sortie'!R31</f>
        <v>556</v>
      </c>
      <c r="Q6" s="34">
        <f>'Tableau sortie'!S31</f>
        <v>460</v>
      </c>
      <c r="R6" s="34">
        <f>'Tableau sortie'!T31</f>
        <v>535</v>
      </c>
      <c r="S6" s="34">
        <f>'Tableau sortie'!U31</f>
        <v>476</v>
      </c>
      <c r="T6" s="34">
        <f>'Tableau sortie'!V31</f>
        <v>332</v>
      </c>
      <c r="U6" s="34">
        <f>'Tableau sortie'!W31</f>
        <v>281</v>
      </c>
      <c r="V6" s="34">
        <f>'Tableau sortie'!X31</f>
        <v>249</v>
      </c>
      <c r="W6" s="34">
        <f>'Tableau sortie'!Y31</f>
        <v>203</v>
      </c>
      <c r="X6" s="34">
        <f>'Tableau sortie'!Z31</f>
        <v>173</v>
      </c>
      <c r="Y6" s="34">
        <f>'Tableau sortie'!AA31</f>
        <v>292</v>
      </c>
      <c r="Z6" s="34">
        <f>'Tableau sortie'!AB31</f>
        <v>465</v>
      </c>
      <c r="AA6" s="34">
        <f>'Tableau sortie'!AC31</f>
        <v>354</v>
      </c>
      <c r="AB6" s="34">
        <f>'Tableau sortie'!AD31</f>
        <v>467</v>
      </c>
      <c r="AC6" s="34">
        <f>'Tableau sortie'!AE31</f>
        <v>639</v>
      </c>
      <c r="AD6" s="34">
        <f>'Tableau sortie'!AF31</f>
        <v>520</v>
      </c>
      <c r="AE6" s="34">
        <f>'Tableau sortie'!AG31</f>
        <v>413</v>
      </c>
      <c r="AF6" s="34">
        <f>'Tableau sortie'!AH31</f>
        <v>338</v>
      </c>
      <c r="AG6" s="34">
        <f>'Tableau sortie'!AI31</f>
        <v>346</v>
      </c>
      <c r="AH6" s="34">
        <f>'Tableau sortie'!AJ31</f>
        <v>324</v>
      </c>
    </row>
    <row r="7" spans="1:34" ht="12.75">
      <c r="A7" s="33" t="s">
        <v>31</v>
      </c>
      <c r="B7" s="34">
        <f>'Tableau sortie'!D32</f>
        <v>677</v>
      </c>
      <c r="C7" s="34">
        <f>'Tableau sortie'!E32</f>
        <v>592</v>
      </c>
      <c r="D7" s="34">
        <f>'Tableau sortie'!F32</f>
        <v>745</v>
      </c>
      <c r="E7" s="34">
        <f>'Tableau sortie'!G32</f>
        <v>768</v>
      </c>
      <c r="F7" s="34">
        <f>'Tableau sortie'!H32</f>
        <v>1026</v>
      </c>
      <c r="G7" s="34">
        <f>'Tableau sortie'!I32</f>
        <v>792</v>
      </c>
      <c r="H7" s="34">
        <f>'Tableau sortie'!J32</f>
        <v>671</v>
      </c>
      <c r="I7" s="34">
        <f>'Tableau sortie'!K32</f>
        <v>430</v>
      </c>
      <c r="J7" s="34">
        <f>'Tableau sortie'!L32</f>
        <v>431</v>
      </c>
      <c r="K7" s="34">
        <f>'Tableau sortie'!M32</f>
        <v>307</v>
      </c>
      <c r="L7" s="34">
        <f>'Tableau sortie'!N32</f>
        <v>164</v>
      </c>
      <c r="M7" s="34">
        <f>'Tableau sortie'!O32</f>
        <v>331</v>
      </c>
      <c r="N7" s="34">
        <f>'Tableau sortie'!P32</f>
        <v>544</v>
      </c>
      <c r="O7" s="34">
        <f>'Tableau sortie'!Q32</f>
        <v>436</v>
      </c>
      <c r="P7" s="34">
        <f>'Tableau sortie'!R32</f>
        <v>690</v>
      </c>
      <c r="Q7" s="34">
        <f>'Tableau sortie'!S32</f>
        <v>557</v>
      </c>
      <c r="R7" s="34">
        <f>'Tableau sortie'!T32</f>
        <v>689</v>
      </c>
      <c r="S7" s="34">
        <f>'Tableau sortie'!U32</f>
        <v>583</v>
      </c>
      <c r="T7" s="34">
        <f>'Tableau sortie'!V32</f>
        <v>427</v>
      </c>
      <c r="U7" s="34">
        <f>'Tableau sortie'!W32</f>
        <v>297</v>
      </c>
      <c r="V7" s="34">
        <f>'Tableau sortie'!X32</f>
        <v>316</v>
      </c>
      <c r="W7" s="34">
        <f>'Tableau sortie'!Y32</f>
        <v>223</v>
      </c>
      <c r="X7" s="34">
        <f>'Tableau sortie'!Z32</f>
        <v>164</v>
      </c>
      <c r="Y7" s="34">
        <f>'Tableau sortie'!AA32</f>
        <v>272</v>
      </c>
      <c r="Z7" s="34">
        <f>'Tableau sortie'!AB32</f>
        <v>383</v>
      </c>
      <c r="AA7" s="34">
        <f>'Tableau sortie'!AC32</f>
        <v>245</v>
      </c>
      <c r="AB7" s="34">
        <f>'Tableau sortie'!AD32</f>
        <v>235</v>
      </c>
      <c r="AC7" s="34">
        <f>'Tableau sortie'!AE32</f>
        <v>310</v>
      </c>
      <c r="AD7" s="34">
        <f>'Tableau sortie'!AF32</f>
        <v>259</v>
      </c>
      <c r="AE7" s="34">
        <f>'Tableau sortie'!AG32</f>
        <v>94</v>
      </c>
      <c r="AF7" s="34">
        <f>'Tableau sortie'!AH32</f>
        <v>85</v>
      </c>
      <c r="AG7" s="34">
        <f>'Tableau sortie'!AI32</f>
        <v>80</v>
      </c>
      <c r="AH7" s="34">
        <f>'Tableau sortie'!AJ32</f>
        <v>53</v>
      </c>
    </row>
    <row r="8" spans="1:34" ht="12.75">
      <c r="A8" s="33" t="s">
        <v>33</v>
      </c>
      <c r="B8" s="34">
        <f>'Tableau sortie'!D34</f>
        <v>3826</v>
      </c>
      <c r="C8" s="34">
        <f>'Tableau sortie'!E34</f>
        <v>3427</v>
      </c>
      <c r="D8" s="34">
        <f>'Tableau sortie'!F34</f>
        <v>4291</v>
      </c>
      <c r="E8" s="34">
        <f>'Tableau sortie'!G34</f>
        <v>4865</v>
      </c>
      <c r="F8" s="34">
        <f>'Tableau sortie'!H34</f>
        <v>6658</v>
      </c>
      <c r="G8" s="34">
        <f>'Tableau sortie'!I34</f>
        <v>5511</v>
      </c>
      <c r="H8" s="34">
        <f>'Tableau sortie'!J34</f>
        <v>3920</v>
      </c>
      <c r="I8" s="34">
        <f>'Tableau sortie'!K34</f>
        <v>2795</v>
      </c>
      <c r="J8" s="34">
        <f>'Tableau sortie'!L34</f>
        <v>2437</v>
      </c>
      <c r="K8" s="34">
        <f>'Tableau sortie'!M34</f>
        <v>1501</v>
      </c>
      <c r="L8" s="34">
        <f>'Tableau sortie'!N34</f>
        <v>1417</v>
      </c>
      <c r="M8" s="34">
        <f>'Tableau sortie'!O34</f>
        <v>2357</v>
      </c>
      <c r="N8" s="34">
        <f>'Tableau sortie'!P34</f>
        <v>2925</v>
      </c>
      <c r="O8" s="34">
        <f>'Tableau sortie'!Q34</f>
        <v>2581</v>
      </c>
      <c r="P8" s="34">
        <f>'Tableau sortie'!R34</f>
        <v>3589</v>
      </c>
      <c r="Q8" s="34">
        <f>'Tableau sortie'!S34</f>
        <v>3681</v>
      </c>
      <c r="R8" s="34">
        <f>'Tableau sortie'!T34</f>
        <v>3704</v>
      </c>
      <c r="S8" s="34">
        <f>'Tableau sortie'!U34</f>
        <v>3326</v>
      </c>
      <c r="T8" s="34">
        <f>'Tableau sortie'!V34</f>
        <v>2486</v>
      </c>
      <c r="U8" s="34">
        <f>'Tableau sortie'!W34</f>
        <v>1944</v>
      </c>
      <c r="V8" s="34">
        <f>'Tableau sortie'!X34</f>
        <v>1677</v>
      </c>
      <c r="W8" s="34">
        <f>'Tableau sortie'!Y34</f>
        <v>1184</v>
      </c>
      <c r="X8" s="34">
        <f>'Tableau sortie'!Z34</f>
        <v>1279</v>
      </c>
      <c r="Y8" s="34">
        <f>'Tableau sortie'!AA34</f>
        <v>1673</v>
      </c>
      <c r="Z8" s="34">
        <f>'Tableau sortie'!AB34</f>
        <v>2455</v>
      </c>
      <c r="AA8" s="34">
        <f>'Tableau sortie'!AC34</f>
        <v>2276</v>
      </c>
      <c r="AB8" s="34">
        <f>'Tableau sortie'!AD34</f>
        <v>2544</v>
      </c>
      <c r="AC8" s="34">
        <f>'Tableau sortie'!AE34</f>
        <v>4081</v>
      </c>
      <c r="AD8" s="34">
        <f>'Tableau sortie'!AF34</f>
        <v>3625</v>
      </c>
      <c r="AE8" s="34">
        <f>'Tableau sortie'!AG34</f>
        <v>2440</v>
      </c>
      <c r="AF8" s="34">
        <f>'Tableau sortie'!AH34</f>
        <v>1956</v>
      </c>
      <c r="AG8" s="34">
        <f>'Tableau sortie'!AI34</f>
        <v>1969</v>
      </c>
      <c r="AH8" s="34">
        <f>'Tableau sortie'!AJ34</f>
        <v>1679</v>
      </c>
    </row>
    <row r="9" spans="1:34" ht="12.75">
      <c r="A9" s="33" t="s">
        <v>32</v>
      </c>
      <c r="B9" s="34">
        <f>'Tableau sortie'!D33</f>
        <v>1462</v>
      </c>
      <c r="C9" s="34">
        <f>'Tableau sortie'!E33</f>
        <v>1201</v>
      </c>
      <c r="D9" s="34">
        <f>'Tableau sortie'!F33</f>
        <v>1641</v>
      </c>
      <c r="E9" s="34">
        <f>'Tableau sortie'!G33</f>
        <v>1740</v>
      </c>
      <c r="F9" s="34">
        <f>'Tableau sortie'!H33</f>
        <v>2337</v>
      </c>
      <c r="G9" s="34">
        <f>'Tableau sortie'!I33</f>
        <v>1705</v>
      </c>
      <c r="H9" s="34">
        <f>'Tableau sortie'!J33</f>
        <v>1436</v>
      </c>
      <c r="I9" s="34">
        <f>'Tableau sortie'!K33</f>
        <v>1057</v>
      </c>
      <c r="J9" s="34">
        <f>'Tableau sortie'!L33</f>
        <v>1061</v>
      </c>
      <c r="K9" s="34">
        <f>'Tableau sortie'!M33</f>
        <v>702</v>
      </c>
      <c r="L9" s="34">
        <f>'Tableau sortie'!N33</f>
        <v>490</v>
      </c>
      <c r="M9" s="34">
        <f>'Tableau sortie'!O33</f>
        <v>1040</v>
      </c>
      <c r="N9" s="34">
        <f>'Tableau sortie'!P33</f>
        <v>1396</v>
      </c>
      <c r="O9" s="34">
        <f>'Tableau sortie'!Q33</f>
        <v>1259</v>
      </c>
      <c r="P9" s="34">
        <f>'Tableau sortie'!R33</f>
        <v>1802</v>
      </c>
      <c r="Q9" s="34">
        <f>'Tableau sortie'!S33</f>
        <v>1542</v>
      </c>
      <c r="R9" s="34">
        <f>'Tableau sortie'!T33</f>
        <v>1900</v>
      </c>
      <c r="S9" s="34">
        <f>'Tableau sortie'!U33</f>
        <v>1623</v>
      </c>
      <c r="T9" s="34">
        <f>'Tableau sortie'!V33</f>
        <v>1166</v>
      </c>
      <c r="U9" s="34">
        <f>'Tableau sortie'!W33</f>
        <v>886</v>
      </c>
      <c r="V9" s="34">
        <f>'Tableau sortie'!X33</f>
        <v>927</v>
      </c>
      <c r="W9" s="34">
        <f>'Tableau sortie'!Y33</f>
        <v>621</v>
      </c>
      <c r="X9" s="34">
        <f>'Tableau sortie'!Z33</f>
        <v>550</v>
      </c>
      <c r="Y9" s="34">
        <f>'Tableau sortie'!AA33</f>
        <v>992</v>
      </c>
      <c r="Z9" s="34">
        <f>'Tableau sortie'!AB33</f>
        <v>1572</v>
      </c>
      <c r="AA9" s="34">
        <f>'Tableau sortie'!AC33</f>
        <v>1293</v>
      </c>
      <c r="AB9" s="34">
        <f>'Tableau sortie'!AD33</f>
        <v>1577</v>
      </c>
      <c r="AC9" s="34">
        <f>'Tableau sortie'!AE33</f>
        <v>2267</v>
      </c>
      <c r="AD9" s="34">
        <f>'Tableau sortie'!AF33</f>
        <v>2079</v>
      </c>
      <c r="AE9" s="34">
        <f>'Tableau sortie'!AG33</f>
        <v>1380</v>
      </c>
      <c r="AF9" s="34">
        <f>'Tableau sortie'!AH33</f>
        <v>1125</v>
      </c>
      <c r="AG9" s="34">
        <f>'Tableau sortie'!AI33</f>
        <v>1148</v>
      </c>
      <c r="AH9" s="34">
        <f>'Tableau sortie'!AJ33</f>
        <v>1007</v>
      </c>
    </row>
    <row r="10" spans="1:34" ht="12.75">
      <c r="A10" s="33" t="s">
        <v>36</v>
      </c>
      <c r="B10" s="34">
        <f>'Tableau sortie'!D37</f>
        <v>1067</v>
      </c>
      <c r="C10" s="34">
        <f>'Tableau sortie'!E37</f>
        <v>957</v>
      </c>
      <c r="D10" s="34">
        <f>'Tableau sortie'!F37</f>
        <v>1090</v>
      </c>
      <c r="E10" s="34">
        <f>'Tableau sortie'!G37</f>
        <v>1262</v>
      </c>
      <c r="F10" s="34">
        <f>'Tableau sortie'!H37</f>
        <v>1510</v>
      </c>
      <c r="G10" s="34">
        <f>'Tableau sortie'!I37</f>
        <v>1177</v>
      </c>
      <c r="H10" s="34">
        <f>'Tableau sortie'!J37</f>
        <v>780</v>
      </c>
      <c r="I10" s="34">
        <f>'Tableau sortie'!K37</f>
        <v>604</v>
      </c>
      <c r="J10" s="34">
        <f>'Tableau sortie'!L37</f>
        <v>414</v>
      </c>
      <c r="K10" s="34">
        <f>'Tableau sortie'!M37</f>
        <v>288</v>
      </c>
      <c r="L10" s="34">
        <f>'Tableau sortie'!N37</f>
        <v>268</v>
      </c>
      <c r="M10" s="34">
        <f>'Tableau sortie'!O37</f>
        <v>487</v>
      </c>
      <c r="N10" s="34">
        <f>'Tableau sortie'!P37</f>
        <v>571</v>
      </c>
      <c r="O10" s="34">
        <f>'Tableau sortie'!Q37</f>
        <v>480</v>
      </c>
      <c r="P10" s="34">
        <f>'Tableau sortie'!R37</f>
        <v>704</v>
      </c>
      <c r="Q10" s="34">
        <f>'Tableau sortie'!S37</f>
        <v>731</v>
      </c>
      <c r="R10" s="34">
        <f>'Tableau sortie'!T37</f>
        <v>824</v>
      </c>
      <c r="S10" s="34">
        <f>'Tableau sortie'!U37</f>
        <v>778</v>
      </c>
      <c r="T10" s="34">
        <f>'Tableau sortie'!V37</f>
        <v>464</v>
      </c>
      <c r="U10" s="34">
        <f>'Tableau sortie'!W37</f>
        <v>398</v>
      </c>
      <c r="V10" s="34">
        <f>'Tableau sortie'!X37</f>
        <v>323</v>
      </c>
      <c r="W10" s="34">
        <f>'Tableau sortie'!Y37</f>
        <v>267</v>
      </c>
      <c r="X10" s="34">
        <f>'Tableau sortie'!Z37</f>
        <v>293</v>
      </c>
      <c r="Y10" s="34">
        <f>'Tableau sortie'!AA37</f>
        <v>399</v>
      </c>
      <c r="Z10" s="34">
        <f>'Tableau sortie'!AB37</f>
        <v>636</v>
      </c>
      <c r="AA10" s="34">
        <f>'Tableau sortie'!AC37</f>
        <v>610</v>
      </c>
      <c r="AB10" s="34">
        <f>'Tableau sortie'!AD37</f>
        <v>581</v>
      </c>
      <c r="AC10" s="34">
        <f>'Tableau sortie'!AE37</f>
        <v>1011</v>
      </c>
      <c r="AD10" s="34">
        <f>'Tableau sortie'!AF37</f>
        <v>897</v>
      </c>
      <c r="AE10" s="34">
        <f>'Tableau sortie'!AG37</f>
        <v>581</v>
      </c>
      <c r="AF10" s="34">
        <f>'Tableau sortie'!AH37</f>
        <v>419</v>
      </c>
      <c r="AG10" s="34">
        <f>'Tableau sortie'!AI37</f>
        <v>391</v>
      </c>
      <c r="AH10" s="34">
        <f>'Tableau sortie'!AJ37</f>
        <v>299</v>
      </c>
    </row>
    <row r="11" spans="1:34" ht="12.75">
      <c r="A11" s="33" t="s">
        <v>37</v>
      </c>
      <c r="B11" s="34">
        <f>'Tableau sortie'!D38</f>
        <v>1163</v>
      </c>
      <c r="C11" s="34">
        <f>'Tableau sortie'!E38</f>
        <v>1137</v>
      </c>
      <c r="D11" s="34">
        <f>'Tableau sortie'!F38</f>
        <v>1272</v>
      </c>
      <c r="E11" s="34">
        <f>'Tableau sortie'!G38</f>
        <v>1607</v>
      </c>
      <c r="F11" s="34">
        <f>'Tableau sortie'!H38</f>
        <v>2177</v>
      </c>
      <c r="G11" s="34">
        <f>'Tableau sortie'!I38</f>
        <v>2087</v>
      </c>
      <c r="H11" s="34">
        <f>'Tableau sortie'!J38</f>
        <v>1191</v>
      </c>
      <c r="I11" s="34">
        <f>'Tableau sortie'!K38</f>
        <v>1074</v>
      </c>
      <c r="J11" s="34">
        <f>'Tableau sortie'!L38</f>
        <v>823</v>
      </c>
      <c r="K11" s="34">
        <f>'Tableau sortie'!M38</f>
        <v>589</v>
      </c>
      <c r="L11" s="34">
        <f>'Tableau sortie'!N38</f>
        <v>670</v>
      </c>
      <c r="M11" s="34">
        <f>'Tableau sortie'!O38</f>
        <v>802</v>
      </c>
      <c r="N11" s="34">
        <f>'Tableau sortie'!P38</f>
        <v>983</v>
      </c>
      <c r="O11" s="34">
        <f>'Tableau sortie'!Q38</f>
        <v>992</v>
      </c>
      <c r="P11" s="34">
        <f>'Tableau sortie'!R38</f>
        <v>1265</v>
      </c>
      <c r="Q11" s="34">
        <f>'Tableau sortie'!S38</f>
        <v>1508</v>
      </c>
      <c r="R11" s="34">
        <f>'Tableau sortie'!T38</f>
        <v>1311</v>
      </c>
      <c r="S11" s="34">
        <f>'Tableau sortie'!U38</f>
        <v>1548</v>
      </c>
      <c r="T11" s="34">
        <f>'Tableau sortie'!V38</f>
        <v>932</v>
      </c>
      <c r="U11" s="34">
        <f>'Tableau sortie'!W38</f>
        <v>908</v>
      </c>
      <c r="V11" s="34">
        <f>'Tableau sortie'!X38</f>
        <v>844</v>
      </c>
      <c r="W11" s="34">
        <f>'Tableau sortie'!Y38</f>
        <v>619</v>
      </c>
      <c r="X11" s="34">
        <f>'Tableau sortie'!Z38</f>
        <v>674</v>
      </c>
      <c r="Y11" s="34">
        <f>'Tableau sortie'!AA38</f>
        <v>783</v>
      </c>
      <c r="Z11" s="34">
        <f>'Tableau sortie'!AB38</f>
        <v>1078</v>
      </c>
      <c r="AA11" s="34">
        <f>'Tableau sortie'!AC38</f>
        <v>1004</v>
      </c>
      <c r="AB11" s="34">
        <f>'Tableau sortie'!AD38</f>
        <v>1093</v>
      </c>
      <c r="AC11" s="34">
        <f>'Tableau sortie'!AE38</f>
        <v>1956</v>
      </c>
      <c r="AD11" s="34">
        <f>'Tableau sortie'!AF38</f>
        <v>1684</v>
      </c>
      <c r="AE11" s="34">
        <f>'Tableau sortie'!AG38</f>
        <v>1208</v>
      </c>
      <c r="AF11" s="34">
        <f>'Tableau sortie'!AH38</f>
        <v>929</v>
      </c>
      <c r="AG11" s="34">
        <f>'Tableau sortie'!AI38</f>
        <v>954</v>
      </c>
      <c r="AH11" s="34">
        <f>'Tableau sortie'!AJ38</f>
        <v>859</v>
      </c>
    </row>
    <row r="12" spans="1:34" ht="12.75">
      <c r="A12" s="33" t="s">
        <v>34</v>
      </c>
      <c r="B12" s="34">
        <f>'Tableau sortie'!D35</f>
        <v>2492</v>
      </c>
      <c r="C12" s="34">
        <f>'Tableau sortie'!E35</f>
        <v>2287</v>
      </c>
      <c r="D12" s="34">
        <f>'Tableau sortie'!F35</f>
        <v>3013</v>
      </c>
      <c r="E12" s="34">
        <f>'Tableau sortie'!G35</f>
        <v>3182</v>
      </c>
      <c r="F12" s="34">
        <f>'Tableau sortie'!H35</f>
        <v>4034</v>
      </c>
      <c r="G12" s="34">
        <f>'Tableau sortie'!I35</f>
        <v>3500</v>
      </c>
      <c r="H12" s="34">
        <f>'Tableau sortie'!J35</f>
        <v>3123</v>
      </c>
      <c r="I12" s="34">
        <f>'Tableau sortie'!K35</f>
        <v>2259</v>
      </c>
      <c r="J12" s="34">
        <f>'Tableau sortie'!L35</f>
        <v>2194</v>
      </c>
      <c r="K12" s="34">
        <f>'Tableau sortie'!M35</f>
        <v>1740</v>
      </c>
      <c r="L12" s="34">
        <f>'Tableau sortie'!N35</f>
        <v>1351</v>
      </c>
      <c r="M12" s="34">
        <f>'Tableau sortie'!O35</f>
        <v>1953</v>
      </c>
      <c r="N12" s="34">
        <f>'Tableau sortie'!P35</f>
        <v>2295</v>
      </c>
      <c r="O12" s="34">
        <f>'Tableau sortie'!Q35</f>
        <v>2140</v>
      </c>
      <c r="P12" s="34">
        <f>'Tableau sortie'!R35</f>
        <v>2805</v>
      </c>
      <c r="Q12" s="34">
        <f>'Tableau sortie'!S35</f>
        <v>2429</v>
      </c>
      <c r="R12" s="34">
        <f>'Tableau sortie'!T35</f>
        <v>2665</v>
      </c>
      <c r="S12" s="34">
        <f>'Tableau sortie'!U35</f>
        <v>2649</v>
      </c>
      <c r="T12" s="34">
        <f>'Tableau sortie'!V35</f>
        <v>2139</v>
      </c>
      <c r="U12" s="34">
        <f>'Tableau sortie'!W35</f>
        <v>1838</v>
      </c>
      <c r="V12" s="34">
        <f>'Tableau sortie'!X35</f>
        <v>1835</v>
      </c>
      <c r="W12" s="34">
        <f>'Tableau sortie'!Y35</f>
        <v>1696</v>
      </c>
      <c r="X12" s="34">
        <f>'Tableau sortie'!Z35</f>
        <v>1566</v>
      </c>
      <c r="Y12" s="34">
        <f>'Tableau sortie'!AA35</f>
        <v>1922</v>
      </c>
      <c r="Z12" s="34">
        <f>'Tableau sortie'!AB35</f>
        <v>2468</v>
      </c>
      <c r="AA12" s="34">
        <f>'Tableau sortie'!AC35</f>
        <v>2178</v>
      </c>
      <c r="AB12" s="34">
        <f>'Tableau sortie'!AD35</f>
        <v>2542</v>
      </c>
      <c r="AC12" s="34">
        <f>'Tableau sortie'!AE35</f>
        <v>3276</v>
      </c>
      <c r="AD12" s="34">
        <f>'Tableau sortie'!AF35</f>
        <v>2980</v>
      </c>
      <c r="AE12" s="34">
        <f>'Tableau sortie'!AG35</f>
        <v>2353</v>
      </c>
      <c r="AF12" s="34">
        <f>'Tableau sortie'!AH35</f>
        <v>1895</v>
      </c>
      <c r="AG12" s="34">
        <f>'Tableau sortie'!AI35</f>
        <v>2078</v>
      </c>
      <c r="AH12" s="34">
        <f>'Tableau sortie'!AJ35</f>
        <v>2021</v>
      </c>
    </row>
    <row r="13" spans="1:34" ht="12.75">
      <c r="A13" s="33" t="s">
        <v>35</v>
      </c>
      <c r="B13" s="34">
        <f>'Tableau sortie'!D36</f>
        <v>8193</v>
      </c>
      <c r="C13" s="34">
        <f>'Tableau sortie'!E36</f>
        <v>7282</v>
      </c>
      <c r="D13" s="34">
        <f>'Tableau sortie'!F36</f>
        <v>9981</v>
      </c>
      <c r="E13" s="34">
        <f>'Tableau sortie'!G36</f>
        <v>10951</v>
      </c>
      <c r="F13" s="34">
        <f>'Tableau sortie'!H36</f>
        <v>14165</v>
      </c>
      <c r="G13" s="34">
        <f>'Tableau sortie'!I36</f>
        <v>11295</v>
      </c>
      <c r="H13" s="34">
        <f>'Tableau sortie'!J36</f>
        <v>9989</v>
      </c>
      <c r="I13" s="34">
        <f>'Tableau sortie'!K36</f>
        <v>7037</v>
      </c>
      <c r="J13" s="34">
        <f>'Tableau sortie'!L36</f>
        <v>6856</v>
      </c>
      <c r="K13" s="34">
        <f>'Tableau sortie'!M36</f>
        <v>4816</v>
      </c>
      <c r="L13" s="34">
        <f>'Tableau sortie'!N36</f>
        <v>3795</v>
      </c>
      <c r="M13" s="34">
        <f>'Tableau sortie'!O36</f>
        <v>5987</v>
      </c>
      <c r="N13" s="34">
        <f>'Tableau sortie'!P36</f>
        <v>7842</v>
      </c>
      <c r="O13" s="34">
        <f>'Tableau sortie'!Q36</f>
        <v>6532</v>
      </c>
      <c r="P13" s="34">
        <f>'Tableau sortie'!R36</f>
        <v>10146</v>
      </c>
      <c r="Q13" s="34">
        <f>'Tableau sortie'!S36</f>
        <v>8816</v>
      </c>
      <c r="R13" s="34">
        <f>'Tableau sortie'!T36</f>
        <v>10881</v>
      </c>
      <c r="S13" s="34">
        <f>'Tableau sortie'!U36</f>
        <v>9478</v>
      </c>
      <c r="T13" s="34">
        <f>'Tableau sortie'!V36</f>
        <v>8186</v>
      </c>
      <c r="U13" s="34">
        <f>'Tableau sortie'!W36</f>
        <v>6356</v>
      </c>
      <c r="V13" s="34">
        <f>'Tableau sortie'!X36</f>
        <v>6121</v>
      </c>
      <c r="W13" s="34">
        <f>'Tableau sortie'!Y36</f>
        <v>5296</v>
      </c>
      <c r="X13" s="34">
        <f>'Tableau sortie'!Z36</f>
        <v>4319</v>
      </c>
      <c r="Y13" s="34">
        <f>'Tableau sortie'!AA36</f>
        <v>5484</v>
      </c>
      <c r="Z13" s="34">
        <f>'Tableau sortie'!AB36</f>
        <v>9115</v>
      </c>
      <c r="AA13" s="34">
        <f>'Tableau sortie'!AC36</f>
        <v>8075</v>
      </c>
      <c r="AB13" s="34">
        <f>'Tableau sortie'!AD36</f>
        <v>10274</v>
      </c>
      <c r="AC13" s="34">
        <f>'Tableau sortie'!AE36</f>
        <v>14313</v>
      </c>
      <c r="AD13" s="34">
        <f>'Tableau sortie'!AF36</f>
        <v>13672</v>
      </c>
      <c r="AE13" s="34">
        <f>'Tableau sortie'!AG36</f>
        <v>9165</v>
      </c>
      <c r="AF13" s="34">
        <f>'Tableau sortie'!AH36</f>
        <v>7303</v>
      </c>
      <c r="AG13" s="34">
        <f>'Tableau sortie'!AI36</f>
        <v>7657</v>
      </c>
      <c r="AH13" s="34">
        <f>'Tableau sortie'!AJ36</f>
        <v>7070</v>
      </c>
    </row>
    <row r="14" spans="1:34" ht="12.75">
      <c r="A14" s="33" t="s">
        <v>38</v>
      </c>
      <c r="B14" s="34">
        <f>'Tableau sortie'!D39</f>
        <v>1844</v>
      </c>
      <c r="C14" s="34">
        <f>'Tableau sortie'!E39</f>
        <v>1716</v>
      </c>
      <c r="D14" s="34">
        <f>'Tableau sortie'!F39</f>
        <v>2060</v>
      </c>
      <c r="E14" s="34">
        <f>'Tableau sortie'!G39</f>
        <v>2523</v>
      </c>
      <c r="F14" s="34">
        <f>'Tableau sortie'!H39</f>
        <v>3520</v>
      </c>
      <c r="G14" s="34">
        <f>'Tableau sortie'!I39</f>
        <v>2586</v>
      </c>
      <c r="H14" s="34">
        <f>'Tableau sortie'!J39</f>
        <v>1827</v>
      </c>
      <c r="I14" s="34">
        <f>'Tableau sortie'!K39</f>
        <v>1519</v>
      </c>
      <c r="J14" s="34">
        <f>'Tableau sortie'!L39</f>
        <v>1361</v>
      </c>
      <c r="K14" s="34">
        <f>'Tableau sortie'!M39</f>
        <v>882</v>
      </c>
      <c r="L14" s="34">
        <f>'Tableau sortie'!N39</f>
        <v>836</v>
      </c>
      <c r="M14" s="34">
        <f>'Tableau sortie'!O39</f>
        <v>1421</v>
      </c>
      <c r="N14" s="34">
        <f>'Tableau sortie'!P39</f>
        <v>1713</v>
      </c>
      <c r="O14" s="34">
        <f>'Tableau sortie'!Q39</f>
        <v>1335</v>
      </c>
      <c r="P14" s="34">
        <f>'Tableau sortie'!R39</f>
        <v>1919</v>
      </c>
      <c r="Q14" s="34">
        <f>'Tableau sortie'!S39</f>
        <v>1901</v>
      </c>
      <c r="R14" s="34">
        <f>'Tableau sortie'!T39</f>
        <v>1933</v>
      </c>
      <c r="S14" s="34">
        <f>'Tableau sortie'!U39</f>
        <v>1839</v>
      </c>
      <c r="T14" s="34">
        <f>'Tableau sortie'!V39</f>
        <v>1345</v>
      </c>
      <c r="U14" s="34">
        <f>'Tableau sortie'!W39</f>
        <v>1126</v>
      </c>
      <c r="V14" s="34">
        <f>'Tableau sortie'!X39</f>
        <v>988</v>
      </c>
      <c r="W14" s="34">
        <f>'Tableau sortie'!Y39</f>
        <v>720</v>
      </c>
      <c r="X14" s="34">
        <f>'Tableau sortie'!Z39</f>
        <v>798</v>
      </c>
      <c r="Y14" s="34">
        <f>'Tableau sortie'!AA39</f>
        <v>1065</v>
      </c>
      <c r="Z14" s="34">
        <f>'Tableau sortie'!AB39</f>
        <v>1549</v>
      </c>
      <c r="AA14" s="34">
        <f>'Tableau sortie'!AC39</f>
        <v>1323</v>
      </c>
      <c r="AB14" s="34">
        <f>'Tableau sortie'!AD39</f>
        <v>1473</v>
      </c>
      <c r="AC14" s="34">
        <f>'Tableau sortie'!AE39</f>
        <v>2467</v>
      </c>
      <c r="AD14" s="34">
        <f>'Tableau sortie'!AF39</f>
        <v>2334</v>
      </c>
      <c r="AE14" s="34">
        <f>'Tableau sortie'!AG39</f>
        <v>1451</v>
      </c>
      <c r="AF14" s="34">
        <f>'Tableau sortie'!AH39</f>
        <v>1110</v>
      </c>
      <c r="AG14" s="34">
        <f>'Tableau sortie'!AI39</f>
        <v>1198</v>
      </c>
      <c r="AH14" s="34">
        <f>'Tableau sortie'!AJ39</f>
        <v>991</v>
      </c>
    </row>
    <row r="15" spans="1:34" ht="12.75">
      <c r="A15" s="33" t="s">
        <v>39</v>
      </c>
      <c r="B15" s="34">
        <f>'Tableau sortie'!D40</f>
        <v>1559</v>
      </c>
      <c r="C15" s="34">
        <f>'Tableau sortie'!E40</f>
        <v>1264</v>
      </c>
      <c r="D15" s="34">
        <f>'Tableau sortie'!F40</f>
        <v>1739</v>
      </c>
      <c r="E15" s="34">
        <f>'Tableau sortie'!G40</f>
        <v>1916</v>
      </c>
      <c r="F15" s="34">
        <f>'Tableau sortie'!H40</f>
        <v>2672</v>
      </c>
      <c r="G15" s="34">
        <f>'Tableau sortie'!I40</f>
        <v>1946</v>
      </c>
      <c r="H15" s="34">
        <f>'Tableau sortie'!J40</f>
        <v>1780</v>
      </c>
      <c r="I15" s="34">
        <f>'Tableau sortie'!K40</f>
        <v>1252</v>
      </c>
      <c r="J15" s="34">
        <f>'Tableau sortie'!L40</f>
        <v>1385</v>
      </c>
      <c r="K15" s="34">
        <f>'Tableau sortie'!M40</f>
        <v>928</v>
      </c>
      <c r="L15" s="34">
        <f>'Tableau sortie'!N40</f>
        <v>662</v>
      </c>
      <c r="M15" s="34">
        <f>'Tableau sortie'!O40</f>
        <v>1108</v>
      </c>
      <c r="N15" s="34">
        <f>'Tableau sortie'!P40</f>
        <v>1512</v>
      </c>
      <c r="O15" s="34">
        <f>'Tableau sortie'!Q40</f>
        <v>1352</v>
      </c>
      <c r="P15" s="34">
        <f>'Tableau sortie'!R40</f>
        <v>2012</v>
      </c>
      <c r="Q15" s="34">
        <f>'Tableau sortie'!S40</f>
        <v>1464</v>
      </c>
      <c r="R15" s="34">
        <f>'Tableau sortie'!T40</f>
        <v>1828</v>
      </c>
      <c r="S15" s="34">
        <f>'Tableau sortie'!U40</f>
        <v>1684</v>
      </c>
      <c r="T15" s="34">
        <f>'Tableau sortie'!V40</f>
        <v>1282</v>
      </c>
      <c r="U15" s="34">
        <f>'Tableau sortie'!W40</f>
        <v>944</v>
      </c>
      <c r="V15" s="34">
        <f>'Tableau sortie'!X40</f>
        <v>961</v>
      </c>
      <c r="W15" s="34">
        <f>'Tableau sortie'!Y40</f>
        <v>835</v>
      </c>
      <c r="X15" s="34">
        <f>'Tableau sortie'!Z40</f>
        <v>573</v>
      </c>
      <c r="Y15" s="34">
        <f>'Tableau sortie'!AA40</f>
        <v>863</v>
      </c>
      <c r="Z15" s="34">
        <f>'Tableau sortie'!AB40</f>
        <v>1290</v>
      </c>
      <c r="AA15" s="34">
        <f>'Tableau sortie'!AC40</f>
        <v>1160</v>
      </c>
      <c r="AB15" s="34">
        <f>'Tableau sortie'!AD40</f>
        <v>1438</v>
      </c>
      <c r="AC15" s="34">
        <f>'Tableau sortie'!AE40</f>
        <v>1821</v>
      </c>
      <c r="AD15" s="34">
        <f>'Tableau sortie'!AF40</f>
        <v>1777</v>
      </c>
      <c r="AE15" s="34">
        <f>'Tableau sortie'!AG40</f>
        <v>1117</v>
      </c>
      <c r="AF15" s="34">
        <f>'Tableau sortie'!AH40</f>
        <v>907</v>
      </c>
      <c r="AG15" s="34">
        <f>'Tableau sortie'!AI40</f>
        <v>1076</v>
      </c>
      <c r="AH15" s="34">
        <f>'Tableau sortie'!AJ40</f>
        <v>1086</v>
      </c>
    </row>
    <row r="16" spans="1:34" ht="12.75">
      <c r="A16" s="33" t="s">
        <v>40</v>
      </c>
      <c r="B16" s="34">
        <f>'Tableau sortie'!D41</f>
        <v>5111</v>
      </c>
      <c r="C16" s="34">
        <f>'Tableau sortie'!E41</f>
        <v>4729</v>
      </c>
      <c r="D16" s="34">
        <f>'Tableau sortie'!F41</f>
        <v>6105</v>
      </c>
      <c r="E16" s="34">
        <f>'Tableau sortie'!G41</f>
        <v>6588</v>
      </c>
      <c r="F16" s="34">
        <f>'Tableau sortie'!H41</f>
        <v>9693</v>
      </c>
      <c r="G16" s="34">
        <f>'Tableau sortie'!I41</f>
        <v>7405</v>
      </c>
      <c r="H16" s="34">
        <f>'Tableau sortie'!J41</f>
        <v>5488</v>
      </c>
      <c r="I16" s="34">
        <f>'Tableau sortie'!K41</f>
        <v>4301</v>
      </c>
      <c r="J16" s="34">
        <f>'Tableau sortie'!L41</f>
        <v>3869</v>
      </c>
      <c r="K16" s="34">
        <f>'Tableau sortie'!M41</f>
        <v>2691</v>
      </c>
      <c r="L16" s="34">
        <f>'Tableau sortie'!N41</f>
        <v>2348</v>
      </c>
      <c r="M16" s="34">
        <f>'Tableau sortie'!O41</f>
        <v>4561</v>
      </c>
      <c r="N16" s="34">
        <f>'Tableau sortie'!P41</f>
        <v>6380</v>
      </c>
      <c r="O16" s="34">
        <f>'Tableau sortie'!Q41</f>
        <v>5058</v>
      </c>
      <c r="P16" s="34">
        <f>'Tableau sortie'!R41</f>
        <v>7046</v>
      </c>
      <c r="Q16" s="34">
        <f>'Tableau sortie'!S41</f>
        <v>6155</v>
      </c>
      <c r="R16" s="34">
        <f>'Tableau sortie'!T41</f>
        <v>6522</v>
      </c>
      <c r="S16" s="34">
        <f>'Tableau sortie'!U41</f>
        <v>5932</v>
      </c>
      <c r="T16" s="34">
        <f>'Tableau sortie'!V41</f>
        <v>4791</v>
      </c>
      <c r="U16" s="34">
        <f>'Tableau sortie'!W41</f>
        <v>4111</v>
      </c>
      <c r="V16" s="34">
        <f>'Tableau sortie'!X41</f>
        <v>3732</v>
      </c>
      <c r="W16" s="34">
        <f>'Tableau sortie'!Y41</f>
        <v>2523</v>
      </c>
      <c r="X16" s="34">
        <f>'Tableau sortie'!Z41</f>
        <v>2433</v>
      </c>
      <c r="Y16" s="34">
        <f>'Tableau sortie'!AA41</f>
        <v>3472</v>
      </c>
      <c r="Z16" s="34">
        <f>'Tableau sortie'!AB41</f>
        <v>5953</v>
      </c>
      <c r="AA16" s="34">
        <f>'Tableau sortie'!AC41</f>
        <v>5202</v>
      </c>
      <c r="AB16" s="34">
        <f>'Tableau sortie'!AD41</f>
        <v>6031</v>
      </c>
      <c r="AC16" s="34">
        <f>'Tableau sortie'!AE41</f>
        <v>8592</v>
      </c>
      <c r="AD16" s="34">
        <f>'Tableau sortie'!AF41</f>
        <v>8073</v>
      </c>
      <c r="AE16" s="34">
        <f>'Tableau sortie'!AG41</f>
        <v>4964</v>
      </c>
      <c r="AF16" s="34">
        <f>'Tableau sortie'!AH41</f>
        <v>4167</v>
      </c>
      <c r="AG16" s="34">
        <f>'Tableau sortie'!AI41</f>
        <v>4057</v>
      </c>
      <c r="AH16" s="34">
        <f>'Tableau sortie'!AJ41</f>
        <v>3897</v>
      </c>
    </row>
    <row r="17" spans="1:34" ht="12.75">
      <c r="A17" s="33" t="s">
        <v>41</v>
      </c>
      <c r="B17" s="34">
        <f>'Tableau sortie'!D42</f>
        <v>3392</v>
      </c>
      <c r="C17" s="34">
        <f>'Tableau sortie'!E42</f>
        <v>3221</v>
      </c>
      <c r="D17" s="34">
        <f>'Tableau sortie'!F42</f>
        <v>3625</v>
      </c>
      <c r="E17" s="34">
        <f>'Tableau sortie'!G42</f>
        <v>3789</v>
      </c>
      <c r="F17" s="34">
        <f>'Tableau sortie'!H42</f>
        <v>4540</v>
      </c>
      <c r="G17" s="34">
        <f>'Tableau sortie'!I42</f>
        <v>3840</v>
      </c>
      <c r="H17" s="34">
        <f>'Tableau sortie'!J42</f>
        <v>3253</v>
      </c>
      <c r="I17" s="34">
        <f>'Tableau sortie'!K42</f>
        <v>2744</v>
      </c>
      <c r="J17" s="34">
        <f>'Tableau sortie'!L42</f>
        <v>2589</v>
      </c>
      <c r="K17" s="34">
        <f>'Tableau sortie'!M42</f>
        <v>1918</v>
      </c>
      <c r="L17" s="34">
        <f>'Tableau sortie'!N42</f>
        <v>1638</v>
      </c>
      <c r="M17" s="34">
        <f>'Tableau sortie'!O42</f>
        <v>2513</v>
      </c>
      <c r="N17" s="34">
        <f>'Tableau sortie'!P42</f>
        <v>2848</v>
      </c>
      <c r="O17" s="34">
        <f>'Tableau sortie'!Q42</f>
        <v>2360</v>
      </c>
      <c r="P17" s="34">
        <f>'Tableau sortie'!R42</f>
        <v>3022</v>
      </c>
      <c r="Q17" s="34">
        <f>'Tableau sortie'!S42</f>
        <v>2804</v>
      </c>
      <c r="R17" s="34">
        <f>'Tableau sortie'!T42</f>
        <v>3049</v>
      </c>
      <c r="S17" s="34">
        <f>'Tableau sortie'!U42</f>
        <v>2909</v>
      </c>
      <c r="T17" s="34">
        <f>'Tableau sortie'!V42</f>
        <v>2216</v>
      </c>
      <c r="U17" s="34">
        <f>'Tableau sortie'!W42</f>
        <v>2038</v>
      </c>
      <c r="V17" s="34">
        <f>'Tableau sortie'!X42</f>
        <v>2012</v>
      </c>
      <c r="W17" s="34">
        <f>'Tableau sortie'!Y42</f>
        <v>1625</v>
      </c>
      <c r="X17" s="34">
        <f>'Tableau sortie'!Z42</f>
        <v>1501</v>
      </c>
      <c r="Y17" s="34">
        <f>'Tableau sortie'!AA42</f>
        <v>1964</v>
      </c>
      <c r="Z17" s="34">
        <f>'Tableau sortie'!AB42</f>
        <v>2823</v>
      </c>
      <c r="AA17" s="34">
        <f>'Tableau sortie'!AC42</f>
        <v>2602</v>
      </c>
      <c r="AB17" s="34">
        <f>'Tableau sortie'!AD42</f>
        <v>2799</v>
      </c>
      <c r="AC17" s="34">
        <f>'Tableau sortie'!AE42</f>
        <v>3432</v>
      </c>
      <c r="AD17" s="34">
        <f>'Tableau sortie'!AF42</f>
        <v>3139</v>
      </c>
      <c r="AE17" s="34">
        <f>'Tableau sortie'!AG42</f>
        <v>2346</v>
      </c>
      <c r="AF17" s="34">
        <f>'Tableau sortie'!AH42</f>
        <v>1958</v>
      </c>
      <c r="AG17" s="34">
        <f>'Tableau sortie'!AI42</f>
        <v>1954</v>
      </c>
      <c r="AH17" s="34">
        <f>'Tableau sortie'!AJ42</f>
        <v>2057</v>
      </c>
    </row>
    <row r="18" spans="1:34" ht="12.75">
      <c r="A18" s="33" t="s">
        <v>42</v>
      </c>
      <c r="B18" s="34">
        <f>'Tableau sortie'!D43</f>
        <v>2946</v>
      </c>
      <c r="C18" s="34">
        <f>'Tableau sortie'!E43</f>
        <v>2538</v>
      </c>
      <c r="D18" s="34">
        <f>'Tableau sortie'!F43</f>
        <v>3207</v>
      </c>
      <c r="E18" s="34">
        <f>'Tableau sortie'!G43</f>
        <v>3241</v>
      </c>
      <c r="F18" s="34">
        <f>'Tableau sortie'!H43</f>
        <v>3900</v>
      </c>
      <c r="G18" s="34">
        <f>'Tableau sortie'!I43</f>
        <v>3182</v>
      </c>
      <c r="H18" s="34">
        <f>'Tableau sortie'!J43</f>
        <v>2089</v>
      </c>
      <c r="I18" s="34">
        <f>'Tableau sortie'!K43</f>
        <v>1664</v>
      </c>
      <c r="J18" s="34">
        <f>'Tableau sortie'!L43</f>
        <v>1274</v>
      </c>
      <c r="K18" s="34">
        <f>'Tableau sortie'!M43</f>
        <v>764</v>
      </c>
      <c r="L18" s="34">
        <f>'Tableau sortie'!N43</f>
        <v>712</v>
      </c>
      <c r="M18" s="34">
        <f>'Tableau sortie'!O43</f>
        <v>1238</v>
      </c>
      <c r="N18" s="34">
        <f>'Tableau sortie'!P43</f>
        <v>1916</v>
      </c>
      <c r="O18" s="34">
        <f>'Tableau sortie'!Q43</f>
        <v>1546</v>
      </c>
      <c r="P18" s="34">
        <f>'Tableau sortie'!R43</f>
        <v>2186</v>
      </c>
      <c r="Q18" s="34">
        <f>'Tableau sortie'!S43</f>
        <v>2089</v>
      </c>
      <c r="R18" s="34">
        <f>'Tableau sortie'!T43</f>
        <v>1979</v>
      </c>
      <c r="S18" s="34">
        <f>'Tableau sortie'!U43</f>
        <v>2060</v>
      </c>
      <c r="T18" s="34">
        <f>'Tableau sortie'!V43</f>
        <v>1371</v>
      </c>
      <c r="U18" s="34">
        <f>'Tableau sortie'!W43</f>
        <v>1235</v>
      </c>
      <c r="V18" s="34">
        <f>'Tableau sortie'!X43</f>
        <v>1295</v>
      </c>
      <c r="W18" s="34">
        <f>'Tableau sortie'!Y43</f>
        <v>753</v>
      </c>
      <c r="X18" s="34">
        <f>'Tableau sortie'!Z43</f>
        <v>813</v>
      </c>
      <c r="Y18" s="34">
        <f>'Tableau sortie'!AA43</f>
        <v>1210</v>
      </c>
      <c r="Z18" s="34">
        <f>'Tableau sortie'!AB43</f>
        <v>2326</v>
      </c>
      <c r="AA18" s="34">
        <f>'Tableau sortie'!AC43</f>
        <v>2111</v>
      </c>
      <c r="AB18" s="34">
        <f>'Tableau sortie'!AD43</f>
        <v>2253</v>
      </c>
      <c r="AC18" s="34">
        <f>'Tableau sortie'!AE43</f>
        <v>3389</v>
      </c>
      <c r="AD18" s="34">
        <f>'Tableau sortie'!AF43</f>
        <v>2720</v>
      </c>
      <c r="AE18" s="34">
        <f>'Tableau sortie'!AG43</f>
        <v>1696</v>
      </c>
      <c r="AF18" s="34">
        <f>'Tableau sortie'!AH43</f>
        <v>1143</v>
      </c>
      <c r="AG18" s="34">
        <f>'Tableau sortie'!AI43</f>
        <v>675</v>
      </c>
      <c r="AH18" s="34">
        <f>'Tableau sortie'!AJ43</f>
        <v>567</v>
      </c>
    </row>
    <row r="19" spans="1:34" ht="12.75">
      <c r="A19" s="33" t="s">
        <v>46</v>
      </c>
      <c r="B19" s="34">
        <f>'Tableau sortie'!D47</f>
        <v>2801</v>
      </c>
      <c r="C19" s="34">
        <f>'Tableau sortie'!E47</f>
        <v>2637</v>
      </c>
      <c r="D19" s="34">
        <f>'Tableau sortie'!F47</f>
        <v>2676</v>
      </c>
      <c r="E19" s="34">
        <f>'Tableau sortie'!G47</f>
        <v>2946</v>
      </c>
      <c r="F19" s="34">
        <f>'Tableau sortie'!H47</f>
        <v>3094</v>
      </c>
      <c r="G19" s="34">
        <f>'Tableau sortie'!I47</f>
        <v>3157</v>
      </c>
      <c r="H19" s="34">
        <f>'Tableau sortie'!J47</f>
        <v>2624</v>
      </c>
      <c r="I19" s="34">
        <f>'Tableau sortie'!K47</f>
        <v>2511</v>
      </c>
      <c r="J19" s="34">
        <f>'Tableau sortie'!L47</f>
        <v>2575</v>
      </c>
      <c r="K19" s="34">
        <f>'Tableau sortie'!M47</f>
        <v>2264</v>
      </c>
      <c r="L19" s="34">
        <f>'Tableau sortie'!N47</f>
        <v>2237</v>
      </c>
      <c r="M19" s="34">
        <f>'Tableau sortie'!O47</f>
        <v>2518</v>
      </c>
      <c r="N19" s="34">
        <f>'Tableau sortie'!P47</f>
        <v>2564</v>
      </c>
      <c r="O19" s="34">
        <f>'Tableau sortie'!Q47</f>
        <v>2367</v>
      </c>
      <c r="P19" s="34">
        <f>'Tableau sortie'!R47</f>
        <v>2772</v>
      </c>
      <c r="Q19" s="34">
        <f>'Tableau sortie'!S47</f>
        <v>2710</v>
      </c>
      <c r="R19" s="34">
        <f>'Tableau sortie'!T47</f>
        <v>2735</v>
      </c>
      <c r="S19" s="34">
        <f>'Tableau sortie'!U47</f>
        <v>2936</v>
      </c>
      <c r="T19" s="34">
        <f>'Tableau sortie'!V47</f>
        <v>2245</v>
      </c>
      <c r="U19" s="34">
        <f>'Tableau sortie'!W47</f>
        <v>2239</v>
      </c>
      <c r="V19" s="34">
        <f>'Tableau sortie'!X47</f>
        <v>2305</v>
      </c>
      <c r="W19" s="34">
        <f>'Tableau sortie'!Y47</f>
        <v>2074</v>
      </c>
      <c r="X19" s="34">
        <f>'Tableau sortie'!Z47</f>
        <v>2250</v>
      </c>
      <c r="Y19" s="34">
        <f>'Tableau sortie'!AA47</f>
        <v>2301</v>
      </c>
      <c r="Z19" s="34">
        <f>'Tableau sortie'!AB47</f>
        <v>2850</v>
      </c>
      <c r="AA19" s="34">
        <f>'Tableau sortie'!AC47</f>
        <v>2579</v>
      </c>
      <c r="AB19" s="34">
        <f>'Tableau sortie'!AD47</f>
        <v>2476</v>
      </c>
      <c r="AC19" s="34">
        <f>'Tableau sortie'!AE47</f>
        <v>3480</v>
      </c>
      <c r="AD19" s="34">
        <f>'Tableau sortie'!AF47</f>
        <v>3106</v>
      </c>
      <c r="AE19" s="34">
        <f>'Tableau sortie'!AG47</f>
        <v>2676</v>
      </c>
      <c r="AF19" s="34">
        <f>'Tableau sortie'!AH47</f>
        <v>2232</v>
      </c>
      <c r="AG19" s="34">
        <f>'Tableau sortie'!AI47</f>
        <v>2630</v>
      </c>
      <c r="AH19" s="34">
        <f>'Tableau sortie'!AJ47</f>
        <v>2410</v>
      </c>
    </row>
    <row r="20" spans="1:34" ht="12.75">
      <c r="A20" s="33" t="s">
        <v>43</v>
      </c>
      <c r="B20" s="34">
        <f>'Tableau sortie'!D44</f>
        <v>1180</v>
      </c>
      <c r="C20" s="34">
        <f>'Tableau sortie'!E44</f>
        <v>1131</v>
      </c>
      <c r="D20" s="34">
        <f>'Tableau sortie'!F44</f>
        <v>1206</v>
      </c>
      <c r="E20" s="34">
        <f>'Tableau sortie'!G44</f>
        <v>1132</v>
      </c>
      <c r="F20" s="34">
        <f>'Tableau sortie'!H44</f>
        <v>1084</v>
      </c>
      <c r="G20" s="34">
        <f>'Tableau sortie'!I44</f>
        <v>1317</v>
      </c>
      <c r="H20" s="34">
        <f>'Tableau sortie'!J44</f>
        <v>1123</v>
      </c>
      <c r="I20" s="34">
        <f>'Tableau sortie'!K44</f>
        <v>1120</v>
      </c>
      <c r="J20" s="34">
        <f>'Tableau sortie'!L44</f>
        <v>1024</v>
      </c>
      <c r="K20" s="34">
        <f>'Tableau sortie'!M44</f>
        <v>949</v>
      </c>
      <c r="L20" s="34">
        <f>'Tableau sortie'!N44</f>
        <v>948</v>
      </c>
      <c r="M20" s="34">
        <f>'Tableau sortie'!O44</f>
        <v>1196</v>
      </c>
      <c r="N20" s="34">
        <f>'Tableau sortie'!P44</f>
        <v>1103</v>
      </c>
      <c r="O20" s="34">
        <f>'Tableau sortie'!Q44</f>
        <v>1209</v>
      </c>
      <c r="P20" s="34">
        <f>'Tableau sortie'!R44</f>
        <v>1173</v>
      </c>
      <c r="Q20" s="34">
        <f>'Tableau sortie'!S44</f>
        <v>1145</v>
      </c>
      <c r="R20" s="34">
        <f>'Tableau sortie'!T44</f>
        <v>1081</v>
      </c>
      <c r="S20" s="34">
        <f>'Tableau sortie'!U44</f>
        <v>1406</v>
      </c>
      <c r="T20" s="34">
        <f>'Tableau sortie'!V44</f>
        <v>1067</v>
      </c>
      <c r="U20" s="34">
        <f>'Tableau sortie'!W44</f>
        <v>1114</v>
      </c>
      <c r="V20" s="34">
        <f>'Tableau sortie'!X44</f>
        <v>1108</v>
      </c>
      <c r="W20" s="34">
        <f>'Tableau sortie'!Y44</f>
        <v>960</v>
      </c>
      <c r="X20" s="34">
        <f>'Tableau sortie'!Z44</f>
        <v>1053</v>
      </c>
      <c r="Y20" s="34">
        <f>'Tableau sortie'!AA44</f>
        <v>1216</v>
      </c>
      <c r="Z20" s="34">
        <f>'Tableau sortie'!AB44</f>
        <v>1377</v>
      </c>
      <c r="AA20" s="34">
        <f>'Tableau sortie'!AC44</f>
        <v>1270</v>
      </c>
      <c r="AB20" s="34">
        <f>'Tableau sortie'!AD44</f>
        <v>1085</v>
      </c>
      <c r="AC20" s="34">
        <f>'Tableau sortie'!AE44</f>
        <v>1478</v>
      </c>
      <c r="AD20" s="34">
        <f>'Tableau sortie'!AF44</f>
        <v>1241</v>
      </c>
      <c r="AE20" s="34">
        <f>'Tableau sortie'!AG44</f>
        <v>1300</v>
      </c>
      <c r="AF20" s="34">
        <f>'Tableau sortie'!AH44</f>
        <v>1082</v>
      </c>
      <c r="AG20" s="34">
        <f>'Tableau sortie'!AI44</f>
        <v>1284</v>
      </c>
      <c r="AH20" s="34">
        <f>'Tableau sortie'!AJ44</f>
        <v>1223</v>
      </c>
    </row>
    <row r="21" spans="1:34" ht="12.75">
      <c r="A21" s="33" t="s">
        <v>44</v>
      </c>
      <c r="B21" s="34">
        <f>'Tableau sortie'!D45</f>
        <v>912</v>
      </c>
      <c r="C21" s="34">
        <f>'Tableau sortie'!E45</f>
        <v>935</v>
      </c>
      <c r="D21" s="34">
        <f>'Tableau sortie'!F45</f>
        <v>1075</v>
      </c>
      <c r="E21" s="34">
        <f>'Tableau sortie'!G45</f>
        <v>1251</v>
      </c>
      <c r="F21" s="34">
        <f>'Tableau sortie'!H45</f>
        <v>1455</v>
      </c>
      <c r="G21" s="34">
        <f>'Tableau sortie'!I45</f>
        <v>1452</v>
      </c>
      <c r="H21" s="34">
        <f>'Tableau sortie'!J45</f>
        <v>1012</v>
      </c>
      <c r="I21" s="34">
        <f>'Tableau sortie'!K45</f>
        <v>881</v>
      </c>
      <c r="J21" s="34">
        <f>'Tableau sortie'!L45</f>
        <v>642</v>
      </c>
      <c r="K21" s="34">
        <f>'Tableau sortie'!M45</f>
        <v>470</v>
      </c>
      <c r="L21" s="34">
        <f>'Tableau sortie'!N45</f>
        <v>428</v>
      </c>
      <c r="M21" s="34">
        <f>'Tableau sortie'!O45</f>
        <v>677</v>
      </c>
      <c r="N21" s="34">
        <f>'Tableau sortie'!P45</f>
        <v>871</v>
      </c>
      <c r="O21" s="34">
        <f>'Tableau sortie'!Q45</f>
        <v>808</v>
      </c>
      <c r="P21" s="34">
        <f>'Tableau sortie'!R45</f>
        <v>1097</v>
      </c>
      <c r="Q21" s="34">
        <f>'Tableau sortie'!S45</f>
        <v>1260</v>
      </c>
      <c r="R21" s="34">
        <f>'Tableau sortie'!T45</f>
        <v>1126</v>
      </c>
      <c r="S21" s="34">
        <f>'Tableau sortie'!U45</f>
        <v>1270</v>
      </c>
      <c r="T21" s="34">
        <f>'Tableau sortie'!V45</f>
        <v>850</v>
      </c>
      <c r="U21" s="34">
        <f>'Tableau sortie'!W45</f>
        <v>790</v>
      </c>
      <c r="V21" s="34">
        <f>'Tableau sortie'!X45</f>
        <v>761</v>
      </c>
      <c r="W21" s="34">
        <f>'Tableau sortie'!Y45</f>
        <v>515</v>
      </c>
      <c r="X21" s="34">
        <f>'Tableau sortie'!Z45</f>
        <v>553</v>
      </c>
      <c r="Y21" s="34">
        <f>'Tableau sortie'!AA45</f>
        <v>778</v>
      </c>
      <c r="Z21" s="34">
        <f>'Tableau sortie'!AB45</f>
        <v>1221</v>
      </c>
      <c r="AA21" s="34">
        <f>'Tableau sortie'!AC45</f>
        <v>1113</v>
      </c>
      <c r="AB21" s="34">
        <f>'Tableau sortie'!AD45</f>
        <v>1205</v>
      </c>
      <c r="AC21" s="34">
        <f>'Tableau sortie'!AE45</f>
        <v>2001</v>
      </c>
      <c r="AD21" s="34">
        <f>'Tableau sortie'!AF45</f>
        <v>1731</v>
      </c>
      <c r="AE21" s="34">
        <f>'Tableau sortie'!AG45</f>
        <v>1375</v>
      </c>
      <c r="AF21" s="34">
        <f>'Tableau sortie'!AH45</f>
        <v>1041</v>
      </c>
      <c r="AG21" s="34">
        <f>'Tableau sortie'!AI45</f>
        <v>973</v>
      </c>
      <c r="AH21" s="34">
        <f>'Tableau sortie'!AJ45</f>
        <v>867</v>
      </c>
    </row>
    <row r="22" spans="1:34" ht="12.75">
      <c r="A22" s="33" t="s">
        <v>45</v>
      </c>
      <c r="B22" s="34">
        <f>'Tableau sortie'!D46</f>
        <v>1110</v>
      </c>
      <c r="C22" s="34">
        <f>'Tableau sortie'!E46</f>
        <v>1156</v>
      </c>
      <c r="D22" s="34">
        <f>'Tableau sortie'!F46</f>
        <v>1385</v>
      </c>
      <c r="E22" s="34">
        <f>'Tableau sortie'!G46</f>
        <v>1364</v>
      </c>
      <c r="F22" s="34">
        <f>'Tableau sortie'!H46</f>
        <v>1770</v>
      </c>
      <c r="G22" s="34">
        <f>'Tableau sortie'!I46</f>
        <v>1714</v>
      </c>
      <c r="H22" s="34">
        <f>'Tableau sortie'!J46</f>
        <v>1224</v>
      </c>
      <c r="I22" s="34">
        <f>'Tableau sortie'!K46</f>
        <v>892</v>
      </c>
      <c r="J22" s="34">
        <f>'Tableau sortie'!L46</f>
        <v>655</v>
      </c>
      <c r="K22" s="34">
        <f>'Tableau sortie'!M46</f>
        <v>371</v>
      </c>
      <c r="L22" s="34">
        <f>'Tableau sortie'!N46</f>
        <v>359</v>
      </c>
      <c r="M22" s="34">
        <f>'Tableau sortie'!O46</f>
        <v>689</v>
      </c>
      <c r="N22" s="34">
        <f>'Tableau sortie'!P46</f>
        <v>913</v>
      </c>
      <c r="O22" s="34">
        <f>'Tableau sortie'!Q46</f>
        <v>905</v>
      </c>
      <c r="P22" s="34">
        <f>'Tableau sortie'!R46</f>
        <v>1169</v>
      </c>
      <c r="Q22" s="34">
        <f>'Tableau sortie'!S46</f>
        <v>1143</v>
      </c>
      <c r="R22" s="34">
        <f>'Tableau sortie'!T46</f>
        <v>1185</v>
      </c>
      <c r="S22" s="34">
        <f>'Tableau sortie'!U46</f>
        <v>1266</v>
      </c>
      <c r="T22" s="34">
        <f>'Tableau sortie'!V46</f>
        <v>810</v>
      </c>
      <c r="U22" s="34">
        <f>'Tableau sortie'!W46</f>
        <v>751</v>
      </c>
      <c r="V22" s="34">
        <f>'Tableau sortie'!X46</f>
        <v>640</v>
      </c>
      <c r="W22" s="34">
        <f>'Tableau sortie'!Y46</f>
        <v>350</v>
      </c>
      <c r="X22" s="34">
        <f>'Tableau sortie'!Z46</f>
        <v>346</v>
      </c>
      <c r="Y22" s="34">
        <f>'Tableau sortie'!AA46</f>
        <v>690</v>
      </c>
      <c r="Z22" s="34">
        <f>'Tableau sortie'!AB46</f>
        <v>1124</v>
      </c>
      <c r="AA22" s="34">
        <f>'Tableau sortie'!AC46</f>
        <v>987</v>
      </c>
      <c r="AB22" s="34">
        <f>'Tableau sortie'!AD46</f>
        <v>1155</v>
      </c>
      <c r="AC22" s="34">
        <f>'Tableau sortie'!AE46</f>
        <v>1751</v>
      </c>
      <c r="AD22" s="34">
        <f>'Tableau sortie'!AF46</f>
        <v>1663</v>
      </c>
      <c r="AE22" s="34">
        <f>'Tableau sortie'!AG46</f>
        <v>1245</v>
      </c>
      <c r="AF22" s="34">
        <f>'Tableau sortie'!AH46</f>
        <v>966</v>
      </c>
      <c r="AG22" s="34">
        <f>'Tableau sortie'!AI46</f>
        <v>817</v>
      </c>
      <c r="AH22" s="34">
        <f>'Tableau sortie'!AJ46</f>
        <v>618</v>
      </c>
    </row>
    <row r="23" spans="1:34" ht="12.75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ht="12.75">
      <c r="A24" s="31" t="s">
        <v>113</v>
      </c>
    </row>
    <row r="25" spans="1:34" ht="13.5" thickBot="1">
      <c r="A25" s="32"/>
      <c r="B25" s="67" t="s">
        <v>80</v>
      </c>
      <c r="C25" s="67" t="s">
        <v>81</v>
      </c>
      <c r="D25" s="67" t="s">
        <v>82</v>
      </c>
      <c r="E25" s="67" t="s">
        <v>83</v>
      </c>
      <c r="F25" s="67" t="s">
        <v>84</v>
      </c>
      <c r="G25" s="67" t="s">
        <v>85</v>
      </c>
      <c r="H25" s="67" t="s">
        <v>86</v>
      </c>
      <c r="I25" s="67" t="s">
        <v>87</v>
      </c>
      <c r="J25" s="67" t="s">
        <v>88</v>
      </c>
      <c r="K25" s="67" t="s">
        <v>89</v>
      </c>
      <c r="L25" s="67" t="s">
        <v>90</v>
      </c>
      <c r="M25" s="67" t="s">
        <v>91</v>
      </c>
      <c r="N25" s="67" t="s">
        <v>92</v>
      </c>
      <c r="O25" s="67" t="s">
        <v>93</v>
      </c>
      <c r="P25" s="67" t="s">
        <v>94</v>
      </c>
      <c r="Q25" s="67" t="s">
        <v>95</v>
      </c>
      <c r="R25" s="67" t="s">
        <v>96</v>
      </c>
      <c r="S25" s="67" t="s">
        <v>97</v>
      </c>
      <c r="T25" s="67" t="s">
        <v>98</v>
      </c>
      <c r="U25" s="67" t="s">
        <v>99</v>
      </c>
      <c r="V25" s="67" t="s">
        <v>100</v>
      </c>
      <c r="W25" s="67" t="s">
        <v>101</v>
      </c>
      <c r="X25" s="67" t="s">
        <v>102</v>
      </c>
      <c r="Y25" s="67" t="s">
        <v>103</v>
      </c>
      <c r="Z25" s="67" t="s">
        <v>104</v>
      </c>
      <c r="AA25" s="67" t="s">
        <v>105</v>
      </c>
      <c r="AB25" s="67" t="s">
        <v>106</v>
      </c>
      <c r="AC25" s="67" t="s">
        <v>107</v>
      </c>
      <c r="AD25" s="67" t="s">
        <v>108</v>
      </c>
      <c r="AE25" s="67" t="s">
        <v>109</v>
      </c>
      <c r="AF25" s="67" t="s">
        <v>110</v>
      </c>
      <c r="AG25" s="67" t="s">
        <v>114</v>
      </c>
      <c r="AH25" s="67" t="s">
        <v>115</v>
      </c>
    </row>
    <row r="26" spans="1:34" ht="13.5" thickTop="1">
      <c r="A26" s="33" t="s">
        <v>26</v>
      </c>
      <c r="B26" s="36">
        <f aca="true" t="shared" si="0" ref="B26:AB35">B4/B$46</f>
        <v>0.19475823173260345</v>
      </c>
      <c r="C26" s="36">
        <f t="shared" si="0"/>
        <v>0.19594288098996607</v>
      </c>
      <c r="D26" s="36">
        <f t="shared" si="0"/>
        <v>0.19243582781748536</v>
      </c>
      <c r="E26" s="36">
        <f t="shared" si="0"/>
        <v>0.19393638037386945</v>
      </c>
      <c r="F26" s="36">
        <f t="shared" si="0"/>
        <v>0.19443898299823048</v>
      </c>
      <c r="G26" s="36">
        <f t="shared" si="0"/>
        <v>0.18285404915390813</v>
      </c>
      <c r="H26" s="36">
        <f t="shared" si="0"/>
        <v>0.1879109722764545</v>
      </c>
      <c r="I26" s="36">
        <f t="shared" si="0"/>
        <v>0.1962770923972426</v>
      </c>
      <c r="J26" s="36">
        <f t="shared" si="0"/>
        <v>0.21373725506650443</v>
      </c>
      <c r="K26" s="36">
        <f t="shared" si="0"/>
        <v>0.21940987668224562</v>
      </c>
      <c r="L26" s="36">
        <f t="shared" si="0"/>
        <v>0.20307195359108737</v>
      </c>
      <c r="M26" s="36">
        <f t="shared" si="0"/>
        <v>0.2153740503884287</v>
      </c>
      <c r="N26" s="36">
        <f t="shared" si="0"/>
        <v>0.21683319337092324</v>
      </c>
      <c r="O26" s="36">
        <f t="shared" si="0"/>
        <v>0.23534352748028942</v>
      </c>
      <c r="P26" s="36">
        <f t="shared" si="0"/>
        <v>0.2376167331112446</v>
      </c>
      <c r="Q26" s="36">
        <f t="shared" si="0"/>
        <v>0.22833637199210452</v>
      </c>
      <c r="R26" s="36">
        <f t="shared" si="0"/>
        <v>0.23519041388334136</v>
      </c>
      <c r="S26" s="36">
        <f t="shared" si="0"/>
        <v>0.22939383280572165</v>
      </c>
      <c r="T26" s="36">
        <f t="shared" si="0"/>
        <v>0.2432915262353353</v>
      </c>
      <c r="U26" s="36">
        <f t="shared" si="0"/>
        <v>0.23785569325100392</v>
      </c>
      <c r="V26" s="36">
        <f t="shared" si="0"/>
        <v>0.25413901809924827</v>
      </c>
      <c r="W26" s="36">
        <f t="shared" si="0"/>
        <v>0.24321777925568763</v>
      </c>
      <c r="X26" s="36">
        <f t="shared" si="0"/>
        <v>0.22765242724218912</v>
      </c>
      <c r="Y26" s="36">
        <f t="shared" si="0"/>
        <v>0.24162879139226418</v>
      </c>
      <c r="Z26" s="36">
        <f t="shared" si="0"/>
        <v>0.24097638186276032</v>
      </c>
      <c r="AA26" s="36">
        <f t="shared" si="0"/>
        <v>0.2362577612516224</v>
      </c>
      <c r="AB26" s="36">
        <f t="shared" si="0"/>
        <v>0.23546489182636626</v>
      </c>
      <c r="AC26" s="36">
        <f aca="true" t="shared" si="1" ref="AC26:AD34">AC4/AC$46</f>
        <v>0.2231367919372117</v>
      </c>
      <c r="AD26" s="36">
        <f t="shared" si="1"/>
        <v>0.23209321582776365</v>
      </c>
      <c r="AE26" s="36">
        <f aca="true" t="shared" si="2" ref="AE26:AF44">AE4/AE$46</f>
        <v>0.22530785993006638</v>
      </c>
      <c r="AF26" s="36">
        <f t="shared" si="2"/>
        <v>0.23412445194623413</v>
      </c>
      <c r="AG26" s="36">
        <f aca="true" t="shared" si="3" ref="AG26:AH44">AG4/AG$46</f>
        <v>0.24753501838954534</v>
      </c>
      <c r="AH26" s="36">
        <f t="shared" si="3"/>
        <v>0.25602637325718125</v>
      </c>
    </row>
    <row r="27" spans="1:34" ht="12.75">
      <c r="A27" s="33" t="s">
        <v>27</v>
      </c>
      <c r="B27" s="36">
        <f t="shared" si="0"/>
        <v>0.13706560504271378</v>
      </c>
      <c r="C27" s="36">
        <f t="shared" si="0"/>
        <v>0.138660570101428</v>
      </c>
      <c r="D27" s="36">
        <f t="shared" si="0"/>
        <v>0.13621086927807213</v>
      </c>
      <c r="E27" s="36">
        <f t="shared" si="0"/>
        <v>0.13737216271787772</v>
      </c>
      <c r="F27" s="36">
        <f t="shared" si="0"/>
        <v>0.13789749267878762</v>
      </c>
      <c r="G27" s="36">
        <f t="shared" si="0"/>
        <v>0.14669369460112813</v>
      </c>
      <c r="H27" s="36">
        <f t="shared" si="0"/>
        <v>0.15439281530652088</v>
      </c>
      <c r="I27" s="36">
        <f t="shared" si="0"/>
        <v>0.15853149770546515</v>
      </c>
      <c r="J27" s="36">
        <f t="shared" si="0"/>
        <v>0.15709310619728947</v>
      </c>
      <c r="K27" s="36">
        <f t="shared" si="0"/>
        <v>0.17731854271073821</v>
      </c>
      <c r="L27" s="36">
        <f t="shared" si="0"/>
        <v>0.1870200072513926</v>
      </c>
      <c r="M27" s="36">
        <f t="shared" si="0"/>
        <v>0.15730288853598867</v>
      </c>
      <c r="N27" s="36">
        <f t="shared" si="0"/>
        <v>0.15244477197552658</v>
      </c>
      <c r="O27" s="36">
        <f t="shared" si="0"/>
        <v>0.15846744172727795</v>
      </c>
      <c r="P27" s="36">
        <f t="shared" si="0"/>
        <v>0.16229315711867184</v>
      </c>
      <c r="Q27" s="36">
        <f t="shared" si="0"/>
        <v>0.16300269712357046</v>
      </c>
      <c r="R27" s="36">
        <f t="shared" si="0"/>
        <v>0.15952069416706838</v>
      </c>
      <c r="S27" s="36">
        <f t="shared" si="0"/>
        <v>0.15853265330050417</v>
      </c>
      <c r="T27" s="36">
        <f t="shared" si="0"/>
        <v>0.1653498351658471</v>
      </c>
      <c r="U27" s="36">
        <f t="shared" si="0"/>
        <v>0.1736905738589749</v>
      </c>
      <c r="V27" s="36">
        <f t="shared" si="0"/>
        <v>0.17060911355569763</v>
      </c>
      <c r="W27" s="36">
        <f t="shared" si="0"/>
        <v>0.18970820517083714</v>
      </c>
      <c r="X27" s="36">
        <f t="shared" si="0"/>
        <v>0.1974791165016796</v>
      </c>
      <c r="Y27" s="36">
        <f t="shared" si="0"/>
        <v>0.16992857805398387</v>
      </c>
      <c r="Z27" s="36">
        <f t="shared" si="0"/>
        <v>0.15871636510350393</v>
      </c>
      <c r="AA27" s="36">
        <f t="shared" si="0"/>
        <v>0.16069737257515698</v>
      </c>
      <c r="AB27" s="36">
        <f t="shared" si="0"/>
        <v>0.15876275923838348</v>
      </c>
      <c r="AC27" s="36">
        <f t="shared" si="1"/>
        <v>0.16183511510461074</v>
      </c>
      <c r="AD27" s="36">
        <f t="shared" si="1"/>
        <v>0.15869166617377417</v>
      </c>
      <c r="AE27" s="36">
        <f t="shared" si="2"/>
        <v>0.1698846264295005</v>
      </c>
      <c r="AF27" s="36">
        <f t="shared" si="2"/>
        <v>0.17601531462917602</v>
      </c>
      <c r="AG27" s="36">
        <f t="shared" si="3"/>
        <v>0.1795132639486658</v>
      </c>
      <c r="AH27" s="36">
        <f t="shared" si="3"/>
        <v>0.17644464975642532</v>
      </c>
    </row>
    <row r="28" spans="1:34" ht="12.75">
      <c r="A28" s="33" t="s">
        <v>30</v>
      </c>
      <c r="B28" s="36">
        <f t="shared" si="0"/>
        <v>0.009056979348096541</v>
      </c>
      <c r="C28" s="36">
        <f t="shared" si="0"/>
        <v>0.008382777203200697</v>
      </c>
      <c r="D28" s="36">
        <f t="shared" si="0"/>
        <v>0.00929010669680203</v>
      </c>
      <c r="E28" s="36">
        <f t="shared" si="0"/>
        <v>0.008506806789318783</v>
      </c>
      <c r="F28" s="36">
        <f t="shared" si="0"/>
        <v>0.009168330970539235</v>
      </c>
      <c r="G28" s="36">
        <f t="shared" si="0"/>
        <v>0.007352941176470588</v>
      </c>
      <c r="H28" s="36">
        <f t="shared" si="0"/>
        <v>0.009043342444357673</v>
      </c>
      <c r="I28" s="36">
        <f t="shared" si="0"/>
        <v>0.0066948765321731525</v>
      </c>
      <c r="J28" s="36">
        <f t="shared" si="0"/>
        <v>0.008391725758402215</v>
      </c>
      <c r="K28" s="36">
        <f t="shared" si="0"/>
        <v>0.0069542203952925275</v>
      </c>
      <c r="L28" s="36">
        <f t="shared" si="0"/>
        <v>0.0059659184547941595</v>
      </c>
      <c r="M28" s="36">
        <f t="shared" si="0"/>
        <v>0.0075968925704965875</v>
      </c>
      <c r="N28" s="36">
        <f t="shared" si="0"/>
        <v>0.007300896330699755</v>
      </c>
      <c r="O28" s="36">
        <f t="shared" si="0"/>
        <v>0.007521524158601073</v>
      </c>
      <c r="P28" s="36">
        <f t="shared" si="0"/>
        <v>0.007591065479766261</v>
      </c>
      <c r="Q28" s="36">
        <f t="shared" si="0"/>
        <v>0.006931155544171049</v>
      </c>
      <c r="R28" s="36">
        <f t="shared" si="0"/>
        <v>0.007368638523517664</v>
      </c>
      <c r="S28" s="36">
        <f t="shared" si="0"/>
        <v>0.006976198850979012</v>
      </c>
      <c r="T28" s="36">
        <f t="shared" si="0"/>
        <v>0.006114518297511833</v>
      </c>
      <c r="U28" s="36">
        <f t="shared" si="0"/>
        <v>0.006066755904831815</v>
      </c>
      <c r="V28" s="36">
        <f t="shared" si="0"/>
        <v>0.0054892969731707856</v>
      </c>
      <c r="W28" s="36">
        <f t="shared" si="0"/>
        <v>0.005625294427356112</v>
      </c>
      <c r="X28" s="36">
        <f t="shared" si="0"/>
        <v>0.0051428401557715745</v>
      </c>
      <c r="Y28" s="36">
        <f t="shared" si="0"/>
        <v>0.0067711715054262125</v>
      </c>
      <c r="Z28" s="36">
        <f t="shared" si="0"/>
        <v>0.00721579094379442</v>
      </c>
      <c r="AA28" s="36">
        <f t="shared" si="0"/>
        <v>0.006209001297926825</v>
      </c>
      <c r="AB28" s="36">
        <f t="shared" si="0"/>
        <v>0.007211575582562503</v>
      </c>
      <c r="AC28" s="36">
        <f t="shared" si="1"/>
        <v>0.006984980651931528</v>
      </c>
      <c r="AD28" s="36">
        <f t="shared" si="1"/>
        <v>0.006151298278819424</v>
      </c>
      <c r="AE28" s="36">
        <f t="shared" si="2"/>
        <v>0.0069764691971148166</v>
      </c>
      <c r="AF28" s="36">
        <f t="shared" si="2"/>
        <v>0.006957452502006957</v>
      </c>
      <c r="AG28" s="36">
        <f t="shared" si="3"/>
        <v>0.006768917755692934</v>
      </c>
      <c r="AH28" s="36">
        <f t="shared" si="3"/>
        <v>0.006803292457584411</v>
      </c>
    </row>
    <row r="29" spans="1:34" ht="12.75">
      <c r="A29" s="33" t="s">
        <v>31</v>
      </c>
      <c r="B29" s="36">
        <f t="shared" si="0"/>
        <v>0.011229990876669154</v>
      </c>
      <c r="C29" s="36">
        <f t="shared" si="0"/>
        <v>0.010741567325313447</v>
      </c>
      <c r="D29" s="36">
        <f t="shared" si="0"/>
        <v>0.010933853853266213</v>
      </c>
      <c r="E29" s="36">
        <f t="shared" si="0"/>
        <v>0.010321054682775397</v>
      </c>
      <c r="F29" s="36">
        <f t="shared" si="0"/>
        <v>0.010617051439924667</v>
      </c>
      <c r="G29" s="36">
        <f t="shared" si="0"/>
        <v>0.009971796937953263</v>
      </c>
      <c r="H29" s="36">
        <f t="shared" si="0"/>
        <v>0.010480281140179617</v>
      </c>
      <c r="I29" s="36">
        <f t="shared" si="0"/>
        <v>0.00854242406182331</v>
      </c>
      <c r="J29" s="36">
        <f t="shared" si="0"/>
        <v>0.009042084504678386</v>
      </c>
      <c r="K29" s="36">
        <f t="shared" si="0"/>
        <v>0.00864350470184132</v>
      </c>
      <c r="L29" s="36">
        <f t="shared" si="0"/>
        <v>0.00540558357229968</v>
      </c>
      <c r="M29" s="36">
        <f t="shared" si="0"/>
        <v>0.0071033091548993515</v>
      </c>
      <c r="N29" s="36">
        <f t="shared" si="0"/>
        <v>0.009323210337794992</v>
      </c>
      <c r="O29" s="36">
        <f t="shared" si="0"/>
        <v>0.008323310997842812</v>
      </c>
      <c r="P29" s="36">
        <f t="shared" si="0"/>
        <v>0.009420566872371798</v>
      </c>
      <c r="Q29" s="36">
        <f t="shared" si="0"/>
        <v>0.008392725300224509</v>
      </c>
      <c r="R29" s="36">
        <f t="shared" si="0"/>
        <v>0.009489704565801253</v>
      </c>
      <c r="S29" s="36">
        <f t="shared" si="0"/>
        <v>0.008544378004455387</v>
      </c>
      <c r="T29" s="36">
        <f t="shared" si="0"/>
        <v>0.007864154557342027</v>
      </c>
      <c r="U29" s="36">
        <f t="shared" si="0"/>
        <v>0.006412193963469925</v>
      </c>
      <c r="V29" s="36">
        <f t="shared" si="0"/>
        <v>0.00696633672097176</v>
      </c>
      <c r="W29" s="36">
        <f t="shared" si="0"/>
        <v>0.00617951062709563</v>
      </c>
      <c r="X29" s="36">
        <f t="shared" si="0"/>
        <v>0.0048752935580724755</v>
      </c>
      <c r="Y29" s="36">
        <f t="shared" si="0"/>
        <v>0.006307392635191541</v>
      </c>
      <c r="Z29" s="36">
        <f t="shared" si="0"/>
        <v>0.005943328884888737</v>
      </c>
      <c r="AA29" s="36">
        <f t="shared" si="0"/>
        <v>0.004297190163819413</v>
      </c>
      <c r="AB29" s="36">
        <f t="shared" si="0"/>
        <v>0.0036289513102830584</v>
      </c>
      <c r="AC29" s="36">
        <f t="shared" si="1"/>
        <v>0.0033886447607179553</v>
      </c>
      <c r="AD29" s="36">
        <f t="shared" si="1"/>
        <v>0.0030638197196427514</v>
      </c>
      <c r="AE29" s="36">
        <f t="shared" si="2"/>
        <v>0.0015878646598760115</v>
      </c>
      <c r="AF29" s="36">
        <f t="shared" si="2"/>
        <v>0.0017496552150017496</v>
      </c>
      <c r="AG29" s="36">
        <f t="shared" si="3"/>
        <v>0.0015650676891775569</v>
      </c>
      <c r="AH29" s="36">
        <f t="shared" si="3"/>
        <v>0.0011128842600369561</v>
      </c>
    </row>
    <row r="30" spans="1:34" ht="12.75">
      <c r="A30" s="33" t="s">
        <v>33</v>
      </c>
      <c r="B30" s="36">
        <f t="shared" si="0"/>
        <v>0.06346520693373144</v>
      </c>
      <c r="C30" s="36">
        <f t="shared" si="0"/>
        <v>0.06218133652677227</v>
      </c>
      <c r="D30" s="36">
        <f t="shared" si="0"/>
        <v>0.06297606293203399</v>
      </c>
      <c r="E30" s="36">
        <f t="shared" si="0"/>
        <v>0.06538011853086237</v>
      </c>
      <c r="F30" s="36">
        <f t="shared" si="0"/>
        <v>0.06889700632263004</v>
      </c>
      <c r="G30" s="36">
        <f t="shared" si="0"/>
        <v>0.06938708702659147</v>
      </c>
      <c r="H30" s="36">
        <f t="shared" si="0"/>
        <v>0.061226083561108945</v>
      </c>
      <c r="I30" s="36">
        <f t="shared" si="0"/>
        <v>0.05552575640185152</v>
      </c>
      <c r="J30" s="36">
        <f t="shared" si="0"/>
        <v>0.0511265891830655</v>
      </c>
      <c r="K30" s="36">
        <f t="shared" si="0"/>
        <v>0.04226026240216228</v>
      </c>
      <c r="L30" s="36">
        <f t="shared" si="0"/>
        <v>0.04670556049968687</v>
      </c>
      <c r="M30" s="36">
        <f t="shared" si="0"/>
        <v>0.05058157002446457</v>
      </c>
      <c r="N30" s="36">
        <f t="shared" si="0"/>
        <v>0.0501293938199455</v>
      </c>
      <c r="O30" s="36">
        <f t="shared" si="0"/>
        <v>0.04927171028768875</v>
      </c>
      <c r="P30" s="36">
        <f t="shared" si="0"/>
        <v>0.049000600731800556</v>
      </c>
      <c r="Q30" s="36">
        <f t="shared" si="0"/>
        <v>0.05546431208281224</v>
      </c>
      <c r="R30" s="36">
        <f t="shared" si="0"/>
        <v>0.05101577026375594</v>
      </c>
      <c r="S30" s="36">
        <f t="shared" si="0"/>
        <v>0.0487454566772189</v>
      </c>
      <c r="T30" s="36">
        <f t="shared" si="0"/>
        <v>0.045785218336188004</v>
      </c>
      <c r="U30" s="36">
        <f t="shared" si="0"/>
        <v>0.04197072412453042</v>
      </c>
      <c r="V30" s="36">
        <f t="shared" si="0"/>
        <v>0.03697008443376469</v>
      </c>
      <c r="W30" s="36">
        <f t="shared" si="0"/>
        <v>0.032809599024579486</v>
      </c>
      <c r="X30" s="36">
        <f t="shared" si="0"/>
        <v>0.03802134427301644</v>
      </c>
      <c r="Y30" s="36">
        <f t="shared" si="0"/>
        <v>0.038795102495130324</v>
      </c>
      <c r="Z30" s="36">
        <f t="shared" si="0"/>
        <v>0.038096272617237206</v>
      </c>
      <c r="AA30" s="36">
        <f t="shared" si="0"/>
        <v>0.039920019644297894</v>
      </c>
      <c r="AB30" s="36">
        <f t="shared" si="0"/>
        <v>0.03928532822706426</v>
      </c>
      <c r="AC30" s="36">
        <f t="shared" si="1"/>
        <v>0.044609868608032184</v>
      </c>
      <c r="AD30" s="36">
        <f t="shared" si="1"/>
        <v>0.04288164665523156</v>
      </c>
      <c r="AE30" s="36">
        <f t="shared" si="2"/>
        <v>0.0412169124478454</v>
      </c>
      <c r="AF30" s="36">
        <f t="shared" si="2"/>
        <v>0.040262654124040266</v>
      </c>
      <c r="AG30" s="36">
        <f t="shared" si="3"/>
        <v>0.03852022849988262</v>
      </c>
      <c r="AH30" s="36">
        <f t="shared" si="3"/>
        <v>0.03525533344532169</v>
      </c>
    </row>
    <row r="31" spans="1:34" ht="12.75">
      <c r="A31" s="33" t="s">
        <v>32</v>
      </c>
      <c r="B31" s="36">
        <f t="shared" si="0"/>
        <v>0.024251472173840924</v>
      </c>
      <c r="C31" s="36">
        <f t="shared" si="0"/>
        <v>0.021791591820441637</v>
      </c>
      <c r="D31" s="36">
        <f t="shared" si="0"/>
        <v>0.024083831104979674</v>
      </c>
      <c r="E31" s="36">
        <f t="shared" si="0"/>
        <v>0.023383639515663007</v>
      </c>
      <c r="F31" s="36">
        <f t="shared" si="0"/>
        <v>0.024183283835383963</v>
      </c>
      <c r="G31" s="36">
        <f t="shared" si="0"/>
        <v>0.021467062852538275</v>
      </c>
      <c r="H31" s="36">
        <f t="shared" si="0"/>
        <v>0.022428738773916438</v>
      </c>
      <c r="I31" s="36">
        <f t="shared" si="0"/>
        <v>0.02099847031010986</v>
      </c>
      <c r="J31" s="36">
        <f t="shared" si="0"/>
        <v>0.022259052574161876</v>
      </c>
      <c r="K31" s="36">
        <f t="shared" si="0"/>
        <v>0.019764626386620868</v>
      </c>
      <c r="L31" s="36">
        <f t="shared" si="0"/>
        <v>0.016150828966017338</v>
      </c>
      <c r="M31" s="36">
        <f t="shared" si="0"/>
        <v>0.022318554444396756</v>
      </c>
      <c r="N31" s="36">
        <f t="shared" si="0"/>
        <v>0.023925002999194502</v>
      </c>
      <c r="O31" s="36">
        <f t="shared" si="0"/>
        <v>0.024034515014413074</v>
      </c>
      <c r="P31" s="36">
        <f t="shared" si="0"/>
        <v>0.02460269783190432</v>
      </c>
      <c r="Q31" s="36">
        <f t="shared" si="0"/>
        <v>0.023234438802416865</v>
      </c>
      <c r="R31" s="36">
        <f t="shared" si="0"/>
        <v>0.02616899662557675</v>
      </c>
      <c r="S31" s="36">
        <f t="shared" si="0"/>
        <v>0.02378649314104819</v>
      </c>
      <c r="T31" s="36">
        <f t="shared" si="0"/>
        <v>0.02147448293644216</v>
      </c>
      <c r="U31" s="36">
        <f t="shared" si="0"/>
        <v>0.019128632497085366</v>
      </c>
      <c r="V31" s="36">
        <f t="shared" si="0"/>
        <v>0.02043605740614184</v>
      </c>
      <c r="W31" s="36">
        <f t="shared" si="0"/>
        <v>0.017208413001912046</v>
      </c>
      <c r="X31" s="36">
        <f t="shared" si="0"/>
        <v>0.016350069859389398</v>
      </c>
      <c r="Y31" s="36">
        <f t="shared" si="0"/>
        <v>0.023003431963639735</v>
      </c>
      <c r="Z31" s="36">
        <f t="shared" si="0"/>
        <v>0.024394028739021134</v>
      </c>
      <c r="AA31" s="36">
        <f t="shared" si="0"/>
        <v>0.022678640333953063</v>
      </c>
      <c r="AB31" s="36">
        <f t="shared" si="0"/>
        <v>0.024352579643899502</v>
      </c>
      <c r="AC31" s="36">
        <f t="shared" si="1"/>
        <v>0.024780831201766468</v>
      </c>
      <c r="AD31" s="36">
        <f t="shared" si="1"/>
        <v>0.024593363695510736</v>
      </c>
      <c r="AE31" s="36">
        <f t="shared" si="2"/>
        <v>0.023311204581158467</v>
      </c>
      <c r="AF31" s="36">
        <f t="shared" si="2"/>
        <v>0.023157201375023157</v>
      </c>
      <c r="AG31" s="36">
        <f t="shared" si="3"/>
        <v>0.02245872133969794</v>
      </c>
      <c r="AH31" s="36">
        <f t="shared" si="3"/>
        <v>0.021144800940702167</v>
      </c>
    </row>
    <row r="32" spans="1:34" ht="12.75">
      <c r="A32" s="33" t="s">
        <v>36</v>
      </c>
      <c r="B32" s="36">
        <f t="shared" si="0"/>
        <v>0.017699261839595255</v>
      </c>
      <c r="C32" s="36">
        <f t="shared" si="0"/>
        <v>0.017364324206630016</v>
      </c>
      <c r="D32" s="36">
        <f t="shared" si="0"/>
        <v>0.015997182147731777</v>
      </c>
      <c r="E32" s="36">
        <f t="shared" si="0"/>
        <v>0.016959858085498113</v>
      </c>
      <c r="F32" s="36">
        <f t="shared" si="0"/>
        <v>0.01562548506265716</v>
      </c>
      <c r="G32" s="36">
        <f t="shared" si="0"/>
        <v>0.0148191982272361</v>
      </c>
      <c r="H32" s="36">
        <f t="shared" si="0"/>
        <v>0.012182741116751269</v>
      </c>
      <c r="I32" s="36">
        <f t="shared" si="0"/>
        <v>0.011999125891491349</v>
      </c>
      <c r="J32" s="36">
        <f t="shared" si="0"/>
        <v>0.008685436159946294</v>
      </c>
      <c r="K32" s="36">
        <f t="shared" si="0"/>
        <v>0.008108564671434202</v>
      </c>
      <c r="L32" s="36">
        <f t="shared" si="0"/>
        <v>0.008833514618148257</v>
      </c>
      <c r="M32" s="36">
        <f t="shared" si="0"/>
        <v>0.010451092321558865</v>
      </c>
      <c r="N32" s="36">
        <f t="shared" si="0"/>
        <v>0.009785943203825259</v>
      </c>
      <c r="O32" s="36">
        <f t="shared" si="0"/>
        <v>0.009163278162762729</v>
      </c>
      <c r="P32" s="36">
        <f t="shared" si="0"/>
        <v>0.009611708808912675</v>
      </c>
      <c r="Q32" s="36">
        <f t="shared" si="0"/>
        <v>0.011014510223454428</v>
      </c>
      <c r="R32" s="36">
        <f t="shared" si="0"/>
        <v>0.011349080641829075</v>
      </c>
      <c r="S32" s="36">
        <f t="shared" si="0"/>
        <v>0.011402274592566538</v>
      </c>
      <c r="T32" s="36">
        <f t="shared" si="0"/>
        <v>0.008545591837486417</v>
      </c>
      <c r="U32" s="36">
        <f t="shared" si="0"/>
        <v>0.008592771708622998</v>
      </c>
      <c r="V32" s="36">
        <f t="shared" si="0"/>
        <v>0.007120654306562907</v>
      </c>
      <c r="W32" s="36">
        <f t="shared" si="0"/>
        <v>0.007398786266522571</v>
      </c>
      <c r="X32" s="36">
        <f t="shared" si="0"/>
        <v>0.008710128125092899</v>
      </c>
      <c r="Y32" s="36">
        <f t="shared" si="0"/>
        <v>0.00925238846118171</v>
      </c>
      <c r="Z32" s="36">
        <f t="shared" si="0"/>
        <v>0.009869339871512367</v>
      </c>
      <c r="AA32" s="36">
        <f t="shared" si="0"/>
        <v>0.010699126530325885</v>
      </c>
      <c r="AB32" s="36">
        <f t="shared" si="0"/>
        <v>0.008972003026699817</v>
      </c>
      <c r="AC32" s="36">
        <f t="shared" si="1"/>
        <v>0.011051354364793074</v>
      </c>
      <c r="AD32" s="36">
        <f t="shared" si="1"/>
        <v>0.010610989530963507</v>
      </c>
      <c r="AE32" s="36">
        <f t="shared" si="2"/>
        <v>0.009814354972212369</v>
      </c>
      <c r="AF32" s="36">
        <f t="shared" si="2"/>
        <v>0.008624771001008625</v>
      </c>
      <c r="AG32" s="36">
        <f t="shared" si="3"/>
        <v>0.007649268330855309</v>
      </c>
      <c r="AH32" s="36">
        <f t="shared" si="3"/>
        <v>0.0062783470519066015</v>
      </c>
    </row>
    <row r="33" spans="1:34" ht="12.75">
      <c r="A33" s="33" t="s">
        <v>37</v>
      </c>
      <c r="B33" s="36">
        <f t="shared" si="0"/>
        <v>0.019291697768930912</v>
      </c>
      <c r="C33" s="36">
        <f t="shared" si="0"/>
        <v>0.02063034129878613</v>
      </c>
      <c r="D33" s="36">
        <f t="shared" si="0"/>
        <v>0.018668271276986073</v>
      </c>
      <c r="E33" s="36">
        <f t="shared" si="0"/>
        <v>0.021596269368776122</v>
      </c>
      <c r="F33" s="36">
        <f t="shared" si="0"/>
        <v>0.022527603298943467</v>
      </c>
      <c r="G33" s="36">
        <f t="shared" si="0"/>
        <v>0.026276692183722805</v>
      </c>
      <c r="H33" s="36">
        <f t="shared" si="0"/>
        <v>0.01860210855134713</v>
      </c>
      <c r="I33" s="36">
        <f t="shared" si="0"/>
        <v>0.02133619405208892</v>
      </c>
      <c r="J33" s="36">
        <f t="shared" si="0"/>
        <v>0.017265975747912558</v>
      </c>
      <c r="K33" s="36">
        <f t="shared" si="0"/>
        <v>0.016583140942620644</v>
      </c>
      <c r="L33" s="36">
        <f t="shared" si="0"/>
        <v>0.022083786545370646</v>
      </c>
      <c r="M33" s="36">
        <f t="shared" si="0"/>
        <v>0.017211039100390575</v>
      </c>
      <c r="N33" s="36">
        <f t="shared" si="0"/>
        <v>0.01684690397436117</v>
      </c>
      <c r="O33" s="36">
        <f t="shared" si="0"/>
        <v>0.018937441536376304</v>
      </c>
      <c r="P33" s="36">
        <f t="shared" si="0"/>
        <v>0.017271039266014962</v>
      </c>
      <c r="Q33" s="36">
        <f t="shared" si="0"/>
        <v>0.02272213600132596</v>
      </c>
      <c r="R33" s="36">
        <f t="shared" si="0"/>
        <v>0.01805660767164796</v>
      </c>
      <c r="S33" s="36">
        <f t="shared" si="0"/>
        <v>0.022687302145620824</v>
      </c>
      <c r="T33" s="36">
        <f t="shared" si="0"/>
        <v>0.017164852570123578</v>
      </c>
      <c r="U33" s="36">
        <f t="shared" si="0"/>
        <v>0.019603609827712767</v>
      </c>
      <c r="V33" s="36">
        <f t="shared" si="0"/>
        <v>0.018606291748418245</v>
      </c>
      <c r="W33" s="36">
        <f t="shared" si="0"/>
        <v>0.017152991381938095</v>
      </c>
      <c r="X33" s="36">
        <f t="shared" si="0"/>
        <v>0.0200362674276881</v>
      </c>
      <c r="Y33" s="36">
        <f t="shared" si="0"/>
        <v>0.018156942769687413</v>
      </c>
      <c r="Z33" s="36">
        <f t="shared" si="0"/>
        <v>0.01672822072561373</v>
      </c>
      <c r="AA33" s="36">
        <f t="shared" si="0"/>
        <v>0.017609709895815062</v>
      </c>
      <c r="AB33" s="36">
        <f t="shared" si="0"/>
        <v>0.016878484179316523</v>
      </c>
      <c r="AC33" s="36">
        <f t="shared" si="1"/>
        <v>0.021381255328917163</v>
      </c>
      <c r="AD33" s="36">
        <f t="shared" si="1"/>
        <v>0.019920742887561366</v>
      </c>
      <c r="AE33" s="36">
        <f t="shared" si="2"/>
        <v>0.02040575009713002</v>
      </c>
      <c r="AF33" s="36">
        <f t="shared" si="2"/>
        <v>0.019122702291019124</v>
      </c>
      <c r="AG33" s="36">
        <f t="shared" si="3"/>
        <v>0.018663432193442367</v>
      </c>
      <c r="AH33" s="36">
        <f t="shared" si="3"/>
        <v>0.018037124139089533</v>
      </c>
    </row>
    <row r="34" spans="1:34" ht="12.75">
      <c r="A34" s="33" t="s">
        <v>34</v>
      </c>
      <c r="B34" s="36">
        <f t="shared" si="0"/>
        <v>0.041336982665671394</v>
      </c>
      <c r="C34" s="36">
        <f t="shared" si="0"/>
        <v>0.04149656160978354</v>
      </c>
      <c r="D34" s="36">
        <f t="shared" si="0"/>
        <v>0.04421973377166591</v>
      </c>
      <c r="E34" s="36">
        <f t="shared" si="0"/>
        <v>0.0427624947924366</v>
      </c>
      <c r="F34" s="36">
        <f t="shared" si="0"/>
        <v>0.04174384552500595</v>
      </c>
      <c r="G34" s="36">
        <f t="shared" si="0"/>
        <v>0.04406728444802579</v>
      </c>
      <c r="H34" s="36">
        <f t="shared" si="0"/>
        <v>0.048777821163607966</v>
      </c>
      <c r="I34" s="36">
        <f t="shared" si="0"/>
        <v>0.04487752547827642</v>
      </c>
      <c r="J34" s="36">
        <f t="shared" si="0"/>
        <v>0.04602861578483615</v>
      </c>
      <c r="K34" s="36">
        <f t="shared" si="0"/>
        <v>0.04898924488991497</v>
      </c>
      <c r="L34" s="36">
        <f t="shared" si="0"/>
        <v>0.04453014272059066</v>
      </c>
      <c r="M34" s="36">
        <f t="shared" si="0"/>
        <v>0.0419116700287566</v>
      </c>
      <c r="N34" s="36">
        <f t="shared" si="0"/>
        <v>0.03933229361257262</v>
      </c>
      <c r="O34" s="36">
        <f t="shared" si="0"/>
        <v>0.0408529484756505</v>
      </c>
      <c r="P34" s="36">
        <f t="shared" si="0"/>
        <v>0.03829665228551144</v>
      </c>
      <c r="Q34" s="36">
        <f t="shared" si="0"/>
        <v>0.03659951481911191</v>
      </c>
      <c r="R34" s="36">
        <f t="shared" si="0"/>
        <v>0.03670546105640107</v>
      </c>
      <c r="S34" s="36">
        <f t="shared" si="0"/>
        <v>0.03882342595849455</v>
      </c>
      <c r="T34" s="36">
        <f t="shared" si="0"/>
        <v>0.039394441681860876</v>
      </c>
      <c r="U34" s="36">
        <f t="shared" si="0"/>
        <v>0.03968219698605294</v>
      </c>
      <c r="V34" s="36">
        <f t="shared" si="0"/>
        <v>0.04045325279425057</v>
      </c>
      <c r="W34" s="36">
        <f t="shared" si="0"/>
        <v>0.04699753373791116</v>
      </c>
      <c r="X34" s="36">
        <f t="shared" si="0"/>
        <v>0.046553107999643274</v>
      </c>
      <c r="Y34" s="36">
        <f t="shared" si="0"/>
        <v>0.04456914942955199</v>
      </c>
      <c r="Z34" s="36">
        <f t="shared" si="0"/>
        <v>0.03829800440706372</v>
      </c>
      <c r="AA34" s="36">
        <f t="shared" si="0"/>
        <v>0.03820114357877013</v>
      </c>
      <c r="AB34" s="36">
        <f t="shared" si="0"/>
        <v>0.03925444353506185</v>
      </c>
      <c r="AC34" s="36">
        <f t="shared" si="1"/>
        <v>0.03581032334229685</v>
      </c>
      <c r="AD34" s="36">
        <f t="shared" si="1"/>
        <v>0.035251670905542085</v>
      </c>
      <c r="AE34" s="36">
        <f t="shared" si="2"/>
        <v>0.03974729302859845</v>
      </c>
      <c r="AF34" s="36">
        <f t="shared" si="2"/>
        <v>0.039007019205039004</v>
      </c>
      <c r="AG34" s="36">
        <f t="shared" si="3"/>
        <v>0.04065263322638704</v>
      </c>
      <c r="AH34" s="36">
        <f t="shared" si="3"/>
        <v>0.04243658659499412</v>
      </c>
    </row>
    <row r="35" spans="1:34" ht="12.75">
      <c r="A35" s="33" t="s">
        <v>35</v>
      </c>
      <c r="B35" s="36">
        <f t="shared" si="0"/>
        <v>0.13590445384423985</v>
      </c>
      <c r="C35" s="36">
        <f t="shared" si="0"/>
        <v>0.13212853591711574</v>
      </c>
      <c r="D35" s="36">
        <f t="shared" si="0"/>
        <v>0.14648428900597327</v>
      </c>
      <c r="E35" s="36">
        <f t="shared" si="0"/>
        <v>0.14716910134254343</v>
      </c>
      <c r="F35" s="36">
        <f t="shared" si="0"/>
        <v>0.14657946749174747</v>
      </c>
      <c r="G35" s="36">
        <f t="shared" si="0"/>
        <v>0.14221142224012892</v>
      </c>
      <c r="H35" s="36">
        <f t="shared" si="0"/>
        <v>0.1560171807887544</v>
      </c>
      <c r="I35" s="36">
        <f t="shared" si="0"/>
        <v>0.13979776307686195</v>
      </c>
      <c r="J35" s="36">
        <f t="shared" si="0"/>
        <v>0.14383417949901398</v>
      </c>
      <c r="K35" s="36">
        <f t="shared" si="0"/>
        <v>0.13559322033898305</v>
      </c>
      <c r="L35" s="36">
        <f t="shared" si="0"/>
        <v>0.12508652229803224</v>
      </c>
      <c r="M35" s="36">
        <f t="shared" si="0"/>
        <v>0.12848190909481094</v>
      </c>
      <c r="N35" s="36">
        <f aca="true" t="shared" si="4" ref="N35:AB35">N13/N$46</f>
        <v>0.13439819020034618</v>
      </c>
      <c r="O35" s="36">
        <f t="shared" si="4"/>
        <v>0.12469694366492946</v>
      </c>
      <c r="P35" s="36">
        <f t="shared" si="4"/>
        <v>0.13852329201026706</v>
      </c>
      <c r="Q35" s="36">
        <f t="shared" si="4"/>
        <v>0.13283710277698255</v>
      </c>
      <c r="R35" s="36">
        <f t="shared" si="4"/>
        <v>0.14986571172784244</v>
      </c>
      <c r="S35" s="36">
        <f t="shared" si="4"/>
        <v>0.13890843006214093</v>
      </c>
      <c r="T35" s="36">
        <f t="shared" si="4"/>
        <v>0.1507633939259996</v>
      </c>
      <c r="U35" s="36">
        <f t="shared" si="4"/>
        <v>0.13722526879398939</v>
      </c>
      <c r="V35" s="36">
        <f t="shared" si="4"/>
        <v>0.1349397059147726</v>
      </c>
      <c r="W35" s="36">
        <f t="shared" si="4"/>
        <v>0.14675644969102447</v>
      </c>
      <c r="X35" s="36">
        <f t="shared" si="4"/>
        <v>0.1283926394958233</v>
      </c>
      <c r="Y35" s="36">
        <f t="shared" si="4"/>
        <v>0.1271681662183471</v>
      </c>
      <c r="Z35" s="36">
        <f t="shared" si="4"/>
        <v>0.1414450203283573</v>
      </c>
      <c r="AA35" s="36">
        <f t="shared" si="4"/>
        <v>0.14163187988915002</v>
      </c>
      <c r="AB35" s="36">
        <f t="shared" si="4"/>
        <v>0.15865466281637505</v>
      </c>
      <c r="AC35" s="36">
        <f aca="true" t="shared" si="5" ref="AC35:AD44">AC13/AC$46</f>
        <v>0.1564570079359874</v>
      </c>
      <c r="AD35" s="36">
        <f t="shared" si="5"/>
        <v>0.161731827053883</v>
      </c>
      <c r="AE35" s="36">
        <f t="shared" si="2"/>
        <v>0.15481680433791112</v>
      </c>
      <c r="AF35" s="36">
        <f t="shared" si="2"/>
        <v>0.15032625923715032</v>
      </c>
      <c r="AG35" s="36">
        <f t="shared" si="3"/>
        <v>0.14979654120040692</v>
      </c>
      <c r="AH35" s="36">
        <f t="shared" si="3"/>
        <v>0.14845456072568453</v>
      </c>
    </row>
    <row r="36" spans="1:34" ht="12.75">
      <c r="A36" s="33" t="s">
        <v>38</v>
      </c>
      <c r="B36" s="36">
        <f aca="true" t="shared" si="6" ref="B36:AB44">B14/B$46</f>
        <v>0.030588040142655717</v>
      </c>
      <c r="C36" s="36">
        <f t="shared" si="6"/>
        <v>0.031136029611888303</v>
      </c>
      <c r="D36" s="36">
        <f t="shared" si="6"/>
        <v>0.030233206627823354</v>
      </c>
      <c r="E36" s="36">
        <f t="shared" si="6"/>
        <v>0.03390627729771136</v>
      </c>
      <c r="F36" s="36">
        <f t="shared" si="6"/>
        <v>0.03642497180169087</v>
      </c>
      <c r="G36" s="36">
        <f t="shared" si="6"/>
        <v>0.032559427880741336</v>
      </c>
      <c r="H36" s="36">
        <f t="shared" si="6"/>
        <v>0.028535728231159702</v>
      </c>
      <c r="I36" s="36">
        <f t="shared" si="6"/>
        <v>0.03017660965095258</v>
      </c>
      <c r="J36" s="36">
        <f t="shared" si="6"/>
        <v>0.028552846892963536</v>
      </c>
      <c r="K36" s="36">
        <f t="shared" si="6"/>
        <v>0.024832479306267245</v>
      </c>
      <c r="L36" s="36">
        <f t="shared" si="6"/>
        <v>0.027555291868552028</v>
      </c>
      <c r="M36" s="36">
        <f t="shared" si="6"/>
        <v>0.03049487102450749</v>
      </c>
      <c r="N36" s="36">
        <f t="shared" si="6"/>
        <v>0.029357829611475775</v>
      </c>
      <c r="O36" s="36">
        <f t="shared" si="6"/>
        <v>0.02548536739018384</v>
      </c>
      <c r="P36" s="36">
        <f t="shared" si="6"/>
        <v>0.026200098301567363</v>
      </c>
      <c r="Q36" s="36">
        <f t="shared" si="6"/>
        <v>0.02864375367275905</v>
      </c>
      <c r="R36" s="36">
        <f t="shared" si="6"/>
        <v>0.026623510777494662</v>
      </c>
      <c r="S36" s="36">
        <f t="shared" si="6"/>
        <v>0.026952163207879</v>
      </c>
      <c r="T36" s="36">
        <f t="shared" si="6"/>
        <v>0.024771165994438</v>
      </c>
      <c r="U36" s="36">
        <f t="shared" si="6"/>
        <v>0.024310203376657024</v>
      </c>
      <c r="V36" s="36">
        <f t="shared" si="6"/>
        <v>0.02178082493772183</v>
      </c>
      <c r="W36" s="36">
        <f t="shared" si="6"/>
        <v>0.01995178319062266</v>
      </c>
      <c r="X36" s="36">
        <f t="shared" si="6"/>
        <v>0.023722464995986802</v>
      </c>
      <c r="Y36" s="36">
        <f t="shared" si="6"/>
        <v>0.02469622483999629</v>
      </c>
      <c r="Z36" s="36">
        <f t="shared" si="6"/>
        <v>0.024037118649328077</v>
      </c>
      <c r="AA36" s="36">
        <f t="shared" si="6"/>
        <v>0.02320482688462483</v>
      </c>
      <c r="AB36" s="36">
        <f t="shared" si="6"/>
        <v>0.022746575659774233</v>
      </c>
      <c r="AC36" s="36">
        <f t="shared" si="5"/>
        <v>0.026967053628036117</v>
      </c>
      <c r="AD36" s="36">
        <f t="shared" si="5"/>
        <v>0.027609865736085645</v>
      </c>
      <c r="AE36" s="36">
        <f t="shared" si="2"/>
        <v>0.024510549164681837</v>
      </c>
      <c r="AF36" s="36">
        <f t="shared" si="2"/>
        <v>0.02284843869002285</v>
      </c>
      <c r="AG36" s="36">
        <f t="shared" si="3"/>
        <v>0.023436888645433914</v>
      </c>
      <c r="AH36" s="36">
        <f t="shared" si="3"/>
        <v>0.02080883588106837</v>
      </c>
    </row>
    <row r="37" spans="1:34" ht="12.75">
      <c r="A37" s="33" t="s">
        <v>39</v>
      </c>
      <c r="B37" s="36">
        <f t="shared" si="6"/>
        <v>0.02586049597744049</v>
      </c>
      <c r="C37" s="36">
        <f t="shared" si="6"/>
        <v>0.022934697802696278</v>
      </c>
      <c r="D37" s="36">
        <f t="shared" si="6"/>
        <v>0.02552210986688583</v>
      </c>
      <c r="E37" s="36">
        <f t="shared" si="6"/>
        <v>0.025748881213799035</v>
      </c>
      <c r="F37" s="36">
        <f t="shared" si="6"/>
        <v>0.027649864958556248</v>
      </c>
      <c r="G37" s="36">
        <f t="shared" si="6"/>
        <v>0.024501410153102338</v>
      </c>
      <c r="H37" s="36">
        <f t="shared" si="6"/>
        <v>0.0278016399843811</v>
      </c>
      <c r="I37" s="36">
        <f t="shared" si="6"/>
        <v>0.024872360291634383</v>
      </c>
      <c r="J37" s="36">
        <f t="shared" si="6"/>
        <v>0.02905635043846767</v>
      </c>
      <c r="K37" s="36">
        <f t="shared" si="6"/>
        <v>0.026127597274621318</v>
      </c>
      <c r="L37" s="36">
        <f t="shared" si="6"/>
        <v>0.021820099541843833</v>
      </c>
      <c r="M37" s="36">
        <f t="shared" si="6"/>
        <v>0.023777844542684234</v>
      </c>
      <c r="N37" s="36">
        <f t="shared" si="6"/>
        <v>0.025913040497694904</v>
      </c>
      <c r="O37" s="36">
        <f t="shared" si="6"/>
        <v>0.025809900158448352</v>
      </c>
      <c r="P37" s="36">
        <f t="shared" si="6"/>
        <v>0.027469826880017475</v>
      </c>
      <c r="Q37" s="36">
        <f t="shared" si="6"/>
        <v>0.022059155905796556</v>
      </c>
      <c r="R37" s="36">
        <f t="shared" si="6"/>
        <v>0.02517732938502858</v>
      </c>
      <c r="S37" s="36">
        <f t="shared" si="6"/>
        <v>0.02468050181732911</v>
      </c>
      <c r="T37" s="36">
        <f t="shared" si="6"/>
        <v>0.023610880895813764</v>
      </c>
      <c r="U37" s="36">
        <f t="shared" si="6"/>
        <v>0.020380845459648515</v>
      </c>
      <c r="V37" s="36">
        <f t="shared" si="6"/>
        <v>0.02118559996472741</v>
      </c>
      <c r="W37" s="36">
        <f t="shared" si="6"/>
        <v>0.02313852633912489</v>
      </c>
      <c r="X37" s="36">
        <f t="shared" si="6"/>
        <v>0.01703380005350932</v>
      </c>
      <c r="Y37" s="36">
        <f t="shared" si="6"/>
        <v>0.020012058250626102</v>
      </c>
      <c r="Z37" s="36">
        <f t="shared" si="6"/>
        <v>0.02001800068278452</v>
      </c>
      <c r="AA37" s="36">
        <f t="shared" si="6"/>
        <v>0.02034587995930824</v>
      </c>
      <c r="AB37" s="36">
        <f t="shared" si="6"/>
        <v>0.022206093549732075</v>
      </c>
      <c r="AC37" s="36">
        <f t="shared" si="5"/>
        <v>0.019905555191185153</v>
      </c>
      <c r="AD37" s="36">
        <f t="shared" si="5"/>
        <v>0.021020878925888685</v>
      </c>
      <c r="AE37" s="36">
        <f t="shared" si="2"/>
        <v>0.018868561968952178</v>
      </c>
      <c r="AF37" s="36">
        <f t="shared" si="2"/>
        <v>0.01866985035301867</v>
      </c>
      <c r="AG37" s="36">
        <f t="shared" si="3"/>
        <v>0.021050160419438142</v>
      </c>
      <c r="AH37" s="36">
        <f t="shared" si="3"/>
        <v>0.022803628422644044</v>
      </c>
    </row>
    <row r="38" spans="1:34" ht="12.75">
      <c r="A38" s="33" t="s">
        <v>40</v>
      </c>
      <c r="B38" s="36">
        <f t="shared" si="6"/>
        <v>0.08478062536285975</v>
      </c>
      <c r="C38" s="36">
        <f t="shared" si="6"/>
        <v>0.0858055268267015</v>
      </c>
      <c r="D38" s="36">
        <f t="shared" si="6"/>
        <v>0.08959889634119494</v>
      </c>
      <c r="E38" s="36">
        <f t="shared" si="6"/>
        <v>0.08853529720068269</v>
      </c>
      <c r="F38" s="36">
        <f t="shared" si="6"/>
        <v>0.10030319649823567</v>
      </c>
      <c r="G38" s="36">
        <f t="shared" si="6"/>
        <v>0.09323378323932313</v>
      </c>
      <c r="H38" s="36">
        <f t="shared" si="6"/>
        <v>0.08571651698555252</v>
      </c>
      <c r="I38" s="36">
        <f t="shared" si="6"/>
        <v>0.08544410672070246</v>
      </c>
      <c r="J38" s="36">
        <f t="shared" si="6"/>
        <v>0.08116896739814543</v>
      </c>
      <c r="K38" s="36">
        <f t="shared" si="6"/>
        <v>0.07576440114871333</v>
      </c>
      <c r="L38" s="36">
        <f t="shared" si="6"/>
        <v>0.07739213553511981</v>
      </c>
      <c r="M38" s="36">
        <f t="shared" si="6"/>
        <v>0.09787973732778231</v>
      </c>
      <c r="N38" s="36">
        <f t="shared" si="6"/>
        <v>0.10934206241752215</v>
      </c>
      <c r="O38" s="36">
        <f t="shared" si="6"/>
        <v>0.09655804364011225</v>
      </c>
      <c r="P38" s="36">
        <f t="shared" si="6"/>
        <v>0.09619900606192999</v>
      </c>
      <c r="Q38" s="36">
        <f t="shared" si="6"/>
        <v>0.0927418747268974</v>
      </c>
      <c r="R38" s="36">
        <f t="shared" si="6"/>
        <v>0.08982852420632188</v>
      </c>
      <c r="S38" s="36">
        <f t="shared" si="6"/>
        <v>0.0869386797983351</v>
      </c>
      <c r="T38" s="36">
        <f t="shared" si="6"/>
        <v>0.08823691916680479</v>
      </c>
      <c r="U38" s="36">
        <f t="shared" si="6"/>
        <v>0.0887559911913295</v>
      </c>
      <c r="V38" s="36">
        <f t="shared" si="6"/>
        <v>0.0822733184894513</v>
      </c>
      <c r="W38" s="36">
        <f t="shared" si="6"/>
        <v>0.06991437359714024</v>
      </c>
      <c r="X38" s="36">
        <f t="shared" si="6"/>
        <v>0.07232676357798984</v>
      </c>
      <c r="Y38" s="36">
        <f t="shared" si="6"/>
        <v>0.08051201187273908</v>
      </c>
      <c r="Z38" s="36">
        <f t="shared" si="6"/>
        <v>0.09237764191055522</v>
      </c>
      <c r="AA38" s="36">
        <f t="shared" si="6"/>
        <v>0.09124074788648402</v>
      </c>
      <c r="AB38" s="36">
        <f t="shared" si="6"/>
        <v>0.09313278873326436</v>
      </c>
      <c r="AC38" s="36">
        <f t="shared" si="5"/>
        <v>0.09392011543254411</v>
      </c>
      <c r="AD38" s="36">
        <f t="shared" si="5"/>
        <v>0.09549890577867155</v>
      </c>
      <c r="AE38" s="36">
        <f t="shared" si="2"/>
        <v>0.08385276778323958</v>
      </c>
      <c r="AF38" s="36">
        <f t="shared" si="2"/>
        <v>0.08577427389308577</v>
      </c>
      <c r="AG38" s="36">
        <f t="shared" si="3"/>
        <v>0.07936849518741686</v>
      </c>
      <c r="AH38" s="36">
        <f t="shared" si="3"/>
        <v>0.08182848983705694</v>
      </c>
    </row>
    <row r="39" spans="1:34" ht="12.75">
      <c r="A39" s="33" t="s">
        <v>41</v>
      </c>
      <c r="B39" s="36">
        <f t="shared" si="6"/>
        <v>0.05626606950319316</v>
      </c>
      <c r="C39" s="36">
        <f t="shared" si="6"/>
        <v>0.0584435614101936</v>
      </c>
      <c r="D39" s="36">
        <f t="shared" si="6"/>
        <v>0.0532016378766309</v>
      </c>
      <c r="E39" s="36">
        <f t="shared" si="6"/>
        <v>0.050919890876348926</v>
      </c>
      <c r="F39" s="36">
        <f t="shared" si="6"/>
        <v>0.046979935221499014</v>
      </c>
      <c r="G39" s="36">
        <f t="shared" si="6"/>
        <v>0.048348106365834004</v>
      </c>
      <c r="H39" s="36">
        <f t="shared" si="6"/>
        <v>0.050808278016399845</v>
      </c>
      <c r="I39" s="36">
        <f t="shared" si="6"/>
        <v>0.054512585175914334</v>
      </c>
      <c r="J39" s="36">
        <f t="shared" si="6"/>
        <v>0.05431544497125834</v>
      </c>
      <c r="K39" s="36">
        <f t="shared" si="6"/>
        <v>0.05400078833267639</v>
      </c>
      <c r="L39" s="36">
        <f t="shared" si="6"/>
        <v>0.0539899139721151</v>
      </c>
      <c r="M39" s="36">
        <f t="shared" si="6"/>
        <v>0.05392935319112408</v>
      </c>
      <c r="N39" s="36">
        <f t="shared" si="6"/>
        <v>0.04880974823904437</v>
      </c>
      <c r="O39" s="36">
        <f t="shared" si="6"/>
        <v>0.04505278430025008</v>
      </c>
      <c r="P39" s="36">
        <f t="shared" si="6"/>
        <v>0.041259352301895036</v>
      </c>
      <c r="Q39" s="36">
        <f t="shared" si="6"/>
        <v>0.042249913360555696</v>
      </c>
      <c r="R39" s="36">
        <f t="shared" si="6"/>
        <v>0.041994353005991324</v>
      </c>
      <c r="S39" s="36">
        <f t="shared" si="6"/>
        <v>0.04263395474264275</v>
      </c>
      <c r="T39" s="36">
        <f t="shared" si="6"/>
        <v>0.04081256791351272</v>
      </c>
      <c r="U39" s="36">
        <f t="shared" si="6"/>
        <v>0.04400017271902932</v>
      </c>
      <c r="V39" s="36">
        <f t="shared" si="6"/>
        <v>0.04435528317276956</v>
      </c>
      <c r="W39" s="36">
        <f t="shared" si="6"/>
        <v>0.04503006622883587</v>
      </c>
      <c r="X39" s="36">
        <f t="shared" si="6"/>
        <v>0.04462082701626089</v>
      </c>
      <c r="Y39" s="36">
        <f t="shared" si="6"/>
        <v>0.0455430850570448</v>
      </c>
      <c r="Z39" s="36">
        <f t="shared" si="6"/>
        <v>0.043806834052326125</v>
      </c>
      <c r="AA39" s="36">
        <f t="shared" si="6"/>
        <v>0.04563791349493107</v>
      </c>
      <c r="AB39" s="36">
        <f t="shared" si="6"/>
        <v>0.043223126457371405</v>
      </c>
      <c r="AC39" s="36">
        <f t="shared" si="5"/>
        <v>0.03751557683478717</v>
      </c>
      <c r="AD39" s="36">
        <f t="shared" si="5"/>
        <v>0.03713254864848879</v>
      </c>
      <c r="AE39" s="36">
        <f t="shared" si="2"/>
        <v>0.03962904778796939</v>
      </c>
      <c r="AF39" s="36">
        <f t="shared" si="2"/>
        <v>0.04030382248204031</v>
      </c>
      <c r="AG39" s="36">
        <f t="shared" si="3"/>
        <v>0.038226778308161825</v>
      </c>
      <c r="AH39" s="36">
        <f t="shared" si="3"/>
        <v>0.04319250797917017</v>
      </c>
    </row>
    <row r="40" spans="1:34" ht="12.75">
      <c r="A40" s="33" t="s">
        <v>42</v>
      </c>
      <c r="B40" s="36">
        <f t="shared" si="6"/>
        <v>0.04886787758148793</v>
      </c>
      <c r="C40" s="36">
        <f t="shared" si="6"/>
        <v>0.04605084099940123</v>
      </c>
      <c r="D40" s="36">
        <f t="shared" si="6"/>
        <v>0.04706693866768422</v>
      </c>
      <c r="E40" s="36">
        <f t="shared" si="6"/>
        <v>0.043555388316243566</v>
      </c>
      <c r="F40" s="36">
        <f t="shared" si="6"/>
        <v>0.04035721307573704</v>
      </c>
      <c r="G40" s="36">
        <f t="shared" si="6"/>
        <v>0.04006345688960516</v>
      </c>
      <c r="H40" s="36">
        <f t="shared" si="6"/>
        <v>0.03262787973447872</v>
      </c>
      <c r="I40" s="36">
        <f t="shared" si="6"/>
        <v>0.03305719450900928</v>
      </c>
      <c r="J40" s="36">
        <f t="shared" si="6"/>
        <v>0.026727646540511057</v>
      </c>
      <c r="K40" s="36">
        <f t="shared" si="6"/>
        <v>0.02151022017005462</v>
      </c>
      <c r="L40" s="36">
        <f t="shared" si="6"/>
        <v>0.023468143313886417</v>
      </c>
      <c r="M40" s="36">
        <f t="shared" si="6"/>
        <v>0.02656766384823383</v>
      </c>
      <c r="N40" s="36">
        <f t="shared" si="6"/>
        <v>0.03283689523385148</v>
      </c>
      <c r="O40" s="36">
        <f t="shared" si="6"/>
        <v>0.02951339174923162</v>
      </c>
      <c r="P40" s="36">
        <f t="shared" si="6"/>
        <v>0.029845448091311233</v>
      </c>
      <c r="Q40" s="36">
        <f t="shared" si="6"/>
        <v>0.03147648680820287</v>
      </c>
      <c r="R40" s="36">
        <f t="shared" si="6"/>
        <v>0.027257075958955993</v>
      </c>
      <c r="S40" s="36">
        <f t="shared" si="6"/>
        <v>0.030191112674404972</v>
      </c>
      <c r="T40" s="36">
        <f t="shared" si="6"/>
        <v>0.025250013812917842</v>
      </c>
      <c r="U40" s="36">
        <f t="shared" si="6"/>
        <v>0.02666350015112915</v>
      </c>
      <c r="V40" s="36">
        <f t="shared" si="6"/>
        <v>0.028548753334362117</v>
      </c>
      <c r="W40" s="36">
        <f t="shared" si="6"/>
        <v>0.020866239920192868</v>
      </c>
      <c r="X40" s="36">
        <f t="shared" si="6"/>
        <v>0.024168375992151967</v>
      </c>
      <c r="Y40" s="36">
        <f t="shared" si="6"/>
        <v>0.028058621649197663</v>
      </c>
      <c r="Z40" s="36">
        <f t="shared" si="6"/>
        <v>0.036094472548958756</v>
      </c>
      <c r="AA40" s="36">
        <f t="shared" si="6"/>
        <v>0.03702599361560319</v>
      </c>
      <c r="AB40" s="36">
        <f t="shared" si="6"/>
        <v>0.03479160554071375</v>
      </c>
      <c r="AC40" s="36">
        <f t="shared" si="5"/>
        <v>0.03704553901313919</v>
      </c>
      <c r="AD40" s="36">
        <f t="shared" si="5"/>
        <v>0.03217602176613237</v>
      </c>
      <c r="AE40" s="36">
        <f t="shared" si="2"/>
        <v>0.0286491325866991</v>
      </c>
      <c r="AF40" s="36">
        <f t="shared" si="2"/>
        <v>0.02352771659702353</v>
      </c>
      <c r="AG40" s="36">
        <f t="shared" si="3"/>
        <v>0.013205258627435637</v>
      </c>
      <c r="AH40" s="36">
        <f t="shared" si="3"/>
        <v>0.01190576180077272</v>
      </c>
    </row>
    <row r="41" spans="1:34" ht="12.75">
      <c r="A41" s="33" t="s">
        <v>46</v>
      </c>
      <c r="B41" s="36">
        <f t="shared" si="6"/>
        <v>0.046462635813220535</v>
      </c>
      <c r="C41" s="36">
        <f t="shared" si="6"/>
        <v>0.04784715040008709</v>
      </c>
      <c r="D41" s="36">
        <f t="shared" si="6"/>
        <v>0.03927381598837636</v>
      </c>
      <c r="E41" s="36">
        <f t="shared" si="6"/>
        <v>0.039590920697208744</v>
      </c>
      <c r="F41" s="36">
        <f t="shared" si="6"/>
        <v>0.03201672237341805</v>
      </c>
      <c r="G41" s="36">
        <f t="shared" si="6"/>
        <v>0.03974869057211926</v>
      </c>
      <c r="H41" s="36">
        <f t="shared" si="6"/>
        <v>0.04098399062866068</v>
      </c>
      <c r="I41" s="36">
        <f t="shared" si="6"/>
        <v>0.04988378330055426</v>
      </c>
      <c r="J41" s="36">
        <f t="shared" si="6"/>
        <v>0.054021734569714264</v>
      </c>
      <c r="K41" s="36">
        <f t="shared" si="6"/>
        <v>0.06374232783377443</v>
      </c>
      <c r="L41" s="36">
        <f t="shared" si="6"/>
        <v>0.07373347836118527</v>
      </c>
      <c r="M41" s="36">
        <f t="shared" si="6"/>
        <v>0.05403665393364522</v>
      </c>
      <c r="N41" s="36">
        <f t="shared" si="6"/>
        <v>0.043942484018577865</v>
      </c>
      <c r="O41" s="36">
        <f t="shared" si="6"/>
        <v>0.0451864154401237</v>
      </c>
      <c r="P41" s="36">
        <f t="shared" si="6"/>
        <v>0.03784610343509366</v>
      </c>
      <c r="Q41" s="36">
        <f t="shared" si="6"/>
        <v>0.04083354679283379</v>
      </c>
      <c r="R41" s="36">
        <f t="shared" si="6"/>
        <v>0.0376695819847118</v>
      </c>
      <c r="S41" s="36">
        <f t="shared" si="6"/>
        <v>0.0430296635009966</v>
      </c>
      <c r="T41" s="36">
        <f t="shared" si="6"/>
        <v>0.041346667403355616</v>
      </c>
      <c r="U41" s="36">
        <f t="shared" si="6"/>
        <v>0.04833973833067058</v>
      </c>
      <c r="V41" s="36">
        <f t="shared" si="6"/>
        <v>0.050814576398227555</v>
      </c>
      <c r="W41" s="36">
        <f t="shared" si="6"/>
        <v>0.05747221991298806</v>
      </c>
      <c r="X41" s="36">
        <f t="shared" si="6"/>
        <v>0.06688664942477482</v>
      </c>
      <c r="Y41" s="36">
        <f t="shared" si="6"/>
        <v>0.053357759020499024</v>
      </c>
      <c r="Z41" s="36">
        <f t="shared" si="6"/>
        <v>0.0442258154619658</v>
      </c>
      <c r="AA41" s="36">
        <f t="shared" si="6"/>
        <v>0.04523450380608272</v>
      </c>
      <c r="AB41" s="36">
        <f t="shared" si="6"/>
        <v>0.03823524869898235</v>
      </c>
      <c r="AC41" s="36">
        <f t="shared" si="5"/>
        <v>0.03804027021709189</v>
      </c>
      <c r="AD41" s="36">
        <f t="shared" si="5"/>
        <v>0.036742177796179096</v>
      </c>
      <c r="AE41" s="36">
        <f t="shared" si="2"/>
        <v>0.04520346627476816</v>
      </c>
      <c r="AF41" s="36">
        <f t="shared" si="2"/>
        <v>0.04594388752804594</v>
      </c>
      <c r="AG41" s="36">
        <f t="shared" si="3"/>
        <v>0.05145160028171218</v>
      </c>
      <c r="AH41" s="36">
        <f t="shared" si="3"/>
        <v>0.050604737107340834</v>
      </c>
    </row>
    <row r="42" spans="1:34" ht="12.75">
      <c r="A42" s="33" t="s">
        <v>43</v>
      </c>
      <c r="B42" s="36">
        <f t="shared" si="6"/>
        <v>0.019573691631417433</v>
      </c>
      <c r="C42" s="36">
        <f t="shared" si="6"/>
        <v>0.020521474062380928</v>
      </c>
      <c r="D42" s="36">
        <f t="shared" si="6"/>
        <v>0.017699634559783965</v>
      </c>
      <c r="E42" s="36">
        <f t="shared" si="6"/>
        <v>0.015212804558465819</v>
      </c>
      <c r="F42" s="36">
        <f t="shared" si="6"/>
        <v>0.011217235634384346</v>
      </c>
      <c r="G42" s="36">
        <f t="shared" si="6"/>
        <v>0.01658188960515713</v>
      </c>
      <c r="H42" s="36">
        <f t="shared" si="6"/>
        <v>0.017540023428348303</v>
      </c>
      <c r="I42" s="36">
        <f t="shared" si="6"/>
        <v>0.02225003476567932</v>
      </c>
      <c r="J42" s="36">
        <f t="shared" si="6"/>
        <v>0.02148281794150967</v>
      </c>
      <c r="K42" s="36">
        <f t="shared" si="6"/>
        <v>0.026718846781913396</v>
      </c>
      <c r="L42" s="36">
        <f t="shared" si="6"/>
        <v>0.03124690991792742</v>
      </c>
      <c r="M42" s="36">
        <f t="shared" si="6"/>
        <v>0.02566633761105627</v>
      </c>
      <c r="N42" s="36">
        <f t="shared" si="6"/>
        <v>0.018903494490051242</v>
      </c>
      <c r="O42" s="36">
        <f t="shared" si="6"/>
        <v>0.023080006872458623</v>
      </c>
      <c r="P42" s="36">
        <f t="shared" si="6"/>
        <v>0.016014963683032058</v>
      </c>
      <c r="Q42" s="36">
        <f t="shared" si="6"/>
        <v>0.017252550213208373</v>
      </c>
      <c r="R42" s="36">
        <f t="shared" si="6"/>
        <v>0.014888781764341299</v>
      </c>
      <c r="S42" s="36">
        <f t="shared" si="6"/>
        <v>0.020606167194278345</v>
      </c>
      <c r="T42" s="36">
        <f t="shared" si="6"/>
        <v>0.01965117778146122</v>
      </c>
      <c r="U42" s="36">
        <f t="shared" si="6"/>
        <v>0.02405112483267844</v>
      </c>
      <c r="V42" s="36">
        <f t="shared" si="6"/>
        <v>0.024426269262141486</v>
      </c>
      <c r="W42" s="36">
        <f t="shared" si="6"/>
        <v>0.02660237758749688</v>
      </c>
      <c r="X42" s="36">
        <f t="shared" si="6"/>
        <v>0.03130295193079461</v>
      </c>
      <c r="Y42" s="36">
        <f t="shared" si="6"/>
        <v>0.028197755310268063</v>
      </c>
      <c r="Z42" s="36">
        <f t="shared" si="6"/>
        <v>0.021368051891623475</v>
      </c>
      <c r="AA42" s="36">
        <f t="shared" si="6"/>
        <v>0.022275230645104713</v>
      </c>
      <c r="AB42" s="36">
        <f t="shared" si="6"/>
        <v>0.016754945411306885</v>
      </c>
      <c r="AC42" s="36">
        <f t="shared" si="5"/>
        <v>0.016156183730132705</v>
      </c>
      <c r="AD42" s="36">
        <f t="shared" si="5"/>
        <v>0.014680309930797894</v>
      </c>
      <c r="AE42" s="36">
        <f t="shared" si="2"/>
        <v>0.021959830402540584</v>
      </c>
      <c r="AF42" s="36">
        <f t="shared" si="2"/>
        <v>0.022272081678022273</v>
      </c>
      <c r="AG42" s="36">
        <f t="shared" si="3"/>
        <v>0.02511933641129979</v>
      </c>
      <c r="AH42" s="36">
        <f t="shared" si="3"/>
        <v>0.02568032924575844</v>
      </c>
    </row>
    <row r="43" spans="1:34" ht="12.75">
      <c r="A43" s="33" t="s">
        <v>44</v>
      </c>
      <c r="B43" s="36">
        <f t="shared" si="6"/>
        <v>0.015128141328688728</v>
      </c>
      <c r="C43" s="36">
        <f t="shared" si="6"/>
        <v>0.016965144339810934</v>
      </c>
      <c r="D43" s="36">
        <f t="shared" si="6"/>
        <v>0.01577703743927675</v>
      </c>
      <c r="E43" s="36">
        <f t="shared" si="6"/>
        <v>0.01681203047936461</v>
      </c>
      <c r="F43" s="36">
        <f t="shared" si="6"/>
        <v>0.01505634487825574</v>
      </c>
      <c r="G43" s="36">
        <f t="shared" si="6"/>
        <v>0.018281627719580983</v>
      </c>
      <c r="H43" s="36">
        <f t="shared" si="6"/>
        <v>0.01580632565404139</v>
      </c>
      <c r="I43" s="36">
        <f t="shared" si="6"/>
        <v>0.01750203627550311</v>
      </c>
      <c r="J43" s="36">
        <f t="shared" si="6"/>
        <v>0.013468719842235556</v>
      </c>
      <c r="K43" s="36">
        <f t="shared" si="6"/>
        <v>0.013232727067965539</v>
      </c>
      <c r="L43" s="36">
        <f t="shared" si="6"/>
        <v>0.014107254688684531</v>
      </c>
      <c r="M43" s="36">
        <f t="shared" si="6"/>
        <v>0.014528520537362118</v>
      </c>
      <c r="N43" s="36">
        <f t="shared" si="6"/>
        <v>0.014927419493050438</v>
      </c>
      <c r="O43" s="36">
        <f t="shared" si="6"/>
        <v>0.015424851573983926</v>
      </c>
      <c r="P43" s="36">
        <f t="shared" si="6"/>
        <v>0.014977336027524438</v>
      </c>
      <c r="Q43" s="36">
        <f t="shared" si="6"/>
        <v>0.018985339099251135</v>
      </c>
      <c r="R43" s="36">
        <f t="shared" si="6"/>
        <v>0.015508573789683906</v>
      </c>
      <c r="S43" s="36">
        <f t="shared" si="6"/>
        <v>0.018612967522570054</v>
      </c>
      <c r="T43" s="36">
        <f t="shared" si="6"/>
        <v>0.01565464021953331</v>
      </c>
      <c r="U43" s="36">
        <f t="shared" si="6"/>
        <v>0.017056004145256702</v>
      </c>
      <c r="V43" s="36">
        <f t="shared" si="6"/>
        <v>0.01677652609069465</v>
      </c>
      <c r="W43" s="36">
        <f t="shared" si="6"/>
        <v>0.014271067143292598</v>
      </c>
      <c r="X43" s="36">
        <f t="shared" si="6"/>
        <v>0.01643925205862243</v>
      </c>
      <c r="Y43" s="36">
        <f t="shared" si="6"/>
        <v>0.018040998052128745</v>
      </c>
      <c r="Z43" s="36">
        <f t="shared" si="6"/>
        <v>0.018947270413705346</v>
      </c>
      <c r="AA43" s="36">
        <f t="shared" si="6"/>
        <v>0.019521521029922474</v>
      </c>
      <c r="AB43" s="36">
        <f t="shared" si="6"/>
        <v>0.018608026931451426</v>
      </c>
      <c r="AC43" s="36">
        <f t="shared" si="5"/>
        <v>0.021873155374827834</v>
      </c>
      <c r="AD43" s="36">
        <f t="shared" si="5"/>
        <v>0.020476725616608505</v>
      </c>
      <c r="AE43" s="36">
        <f t="shared" si="2"/>
        <v>0.023226743694994847</v>
      </c>
      <c r="AF43" s="36">
        <f t="shared" si="2"/>
        <v>0.02142813033902143</v>
      </c>
      <c r="AG43" s="36">
        <f t="shared" si="3"/>
        <v>0.019035135769622038</v>
      </c>
      <c r="AH43" s="36">
        <f t="shared" si="3"/>
        <v>0.018205106668906432</v>
      </c>
    </row>
    <row r="44" spans="1:34" ht="12.75">
      <c r="A44" s="33" t="s">
        <v>45</v>
      </c>
      <c r="B44" s="36">
        <f t="shared" si="6"/>
        <v>0.01841254043294352</v>
      </c>
      <c r="C44" s="36">
        <f t="shared" si="6"/>
        <v>0.02097508754740261</v>
      </c>
      <c r="D44" s="36">
        <f t="shared" si="6"/>
        <v>0.020326694747347256</v>
      </c>
      <c r="E44" s="36">
        <f t="shared" si="6"/>
        <v>0.01833062316055422</v>
      </c>
      <c r="F44" s="36">
        <f t="shared" si="6"/>
        <v>0.018315965934372964</v>
      </c>
      <c r="G44" s="36">
        <f t="shared" si="6"/>
        <v>0.0215803787268332</v>
      </c>
      <c r="H44" s="36">
        <f t="shared" si="6"/>
        <v>0.019117532213978914</v>
      </c>
      <c r="I44" s="36">
        <f t="shared" si="6"/>
        <v>0.01772056340266603</v>
      </c>
      <c r="J44" s="36">
        <f t="shared" si="6"/>
        <v>0.013741450929383628</v>
      </c>
      <c r="K44" s="36">
        <f t="shared" si="6"/>
        <v>0.01044540796216003</v>
      </c>
      <c r="L44" s="36">
        <f t="shared" si="6"/>
        <v>0.011832954283265763</v>
      </c>
      <c r="M44" s="36">
        <f t="shared" si="6"/>
        <v>0.01478604231941285</v>
      </c>
      <c r="N44" s="36">
        <f t="shared" si="6"/>
        <v>0.015647226173541962</v>
      </c>
      <c r="O44" s="36">
        <f t="shared" si="6"/>
        <v>0.01727659736937556</v>
      </c>
      <c r="P44" s="36">
        <f t="shared" si="6"/>
        <v>0.015960351701163236</v>
      </c>
      <c r="Q44" s="36">
        <f t="shared" si="6"/>
        <v>0.01722241475432067</v>
      </c>
      <c r="R44" s="36">
        <f t="shared" si="6"/>
        <v>0.016321190000688657</v>
      </c>
      <c r="S44" s="36">
        <f t="shared" si="6"/>
        <v>0.01855434400281393</v>
      </c>
      <c r="T44" s="36">
        <f t="shared" si="6"/>
        <v>0.014917951268025857</v>
      </c>
      <c r="U44" s="36">
        <f t="shared" si="6"/>
        <v>0.01621399887732631</v>
      </c>
      <c r="V44" s="36">
        <f t="shared" si="6"/>
        <v>0.01410903639690483</v>
      </c>
      <c r="W44" s="36">
        <f t="shared" si="6"/>
        <v>0.009698783495441572</v>
      </c>
      <c r="X44" s="36">
        <f t="shared" si="6"/>
        <v>0.010285680311543149</v>
      </c>
      <c r="Y44" s="36">
        <f t="shared" si="6"/>
        <v>0.016000371023096188</v>
      </c>
      <c r="Z44" s="36">
        <f t="shared" si="6"/>
        <v>0.017442040904999845</v>
      </c>
      <c r="AA44" s="36">
        <f t="shared" si="6"/>
        <v>0.01731153751710106</v>
      </c>
      <c r="AB44" s="36">
        <f t="shared" si="6"/>
        <v>0.0178359096313912</v>
      </c>
      <c r="AC44" s="36">
        <f t="shared" si="5"/>
        <v>0.019140377341990773</v>
      </c>
      <c r="AD44" s="36">
        <f t="shared" si="5"/>
        <v>0.019672325072455196</v>
      </c>
      <c r="AE44" s="36">
        <f t="shared" si="2"/>
        <v>0.02103076065474079</v>
      </c>
      <c r="AF44" s="36">
        <f t="shared" si="2"/>
        <v>0.019884316914019883</v>
      </c>
      <c r="AG44" s="36">
        <f t="shared" si="3"/>
        <v>0.0159832537757258</v>
      </c>
      <c r="AH44" s="36">
        <f t="shared" si="3"/>
        <v>0.012976650428355451</v>
      </c>
    </row>
    <row r="45" spans="1:34" s="40" customFormat="1" ht="13.5" thickBo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s="40" customFormat="1" ht="13.5" thickTop="1">
      <c r="A46" s="41" t="s">
        <v>69</v>
      </c>
      <c r="B46" s="42">
        <f aca="true" t="shared" si="7" ref="B46:AB46">SUM(B4:B22)</f>
        <v>60285</v>
      </c>
      <c r="C46" s="42">
        <f t="shared" si="7"/>
        <v>55113</v>
      </c>
      <c r="D46" s="42">
        <f t="shared" si="7"/>
        <v>68137</v>
      </c>
      <c r="E46" s="42">
        <f t="shared" si="7"/>
        <v>74411</v>
      </c>
      <c r="F46" s="42">
        <f t="shared" si="7"/>
        <v>96637</v>
      </c>
      <c r="G46" s="42">
        <f t="shared" si="7"/>
        <v>79424</v>
      </c>
      <c r="H46" s="42">
        <f t="shared" si="7"/>
        <v>64025</v>
      </c>
      <c r="I46" s="42">
        <f t="shared" si="7"/>
        <v>50337</v>
      </c>
      <c r="J46" s="42">
        <f t="shared" si="7"/>
        <v>47666</v>
      </c>
      <c r="K46" s="42">
        <f t="shared" si="7"/>
        <v>35518</v>
      </c>
      <c r="L46" s="42">
        <f t="shared" si="7"/>
        <v>30339</v>
      </c>
      <c r="M46" s="42">
        <f t="shared" si="7"/>
        <v>46598</v>
      </c>
      <c r="N46" s="42">
        <f t="shared" si="7"/>
        <v>58349</v>
      </c>
      <c r="O46" s="42">
        <f t="shared" si="7"/>
        <v>52383</v>
      </c>
      <c r="P46" s="42">
        <f t="shared" si="7"/>
        <v>73244</v>
      </c>
      <c r="Q46" s="42">
        <f t="shared" si="7"/>
        <v>66367</v>
      </c>
      <c r="R46" s="42">
        <f t="shared" si="7"/>
        <v>72605</v>
      </c>
      <c r="S46" s="42">
        <f t="shared" si="7"/>
        <v>68232</v>
      </c>
      <c r="T46" s="42">
        <f t="shared" si="7"/>
        <v>54297</v>
      </c>
      <c r="U46" s="42">
        <f t="shared" si="7"/>
        <v>46318</v>
      </c>
      <c r="V46" s="42">
        <f t="shared" si="7"/>
        <v>45361</v>
      </c>
      <c r="W46" s="42">
        <f t="shared" si="7"/>
        <v>36087</v>
      </c>
      <c r="X46" s="42">
        <f t="shared" si="7"/>
        <v>33639</v>
      </c>
      <c r="Y46" s="42">
        <f t="shared" si="7"/>
        <v>43124</v>
      </c>
      <c r="Z46" s="42">
        <f t="shared" si="7"/>
        <v>64442</v>
      </c>
      <c r="AA46" s="42">
        <f t="shared" si="7"/>
        <v>57014</v>
      </c>
      <c r="AB46" s="42">
        <f t="shared" si="7"/>
        <v>64757</v>
      </c>
      <c r="AC46" s="42">
        <f aca="true" t="shared" si="8" ref="AC46:AH46">SUM(AC4:AC22)</f>
        <v>91482</v>
      </c>
      <c r="AD46" s="42">
        <f t="shared" si="8"/>
        <v>84535</v>
      </c>
      <c r="AE46" s="42">
        <f t="shared" si="8"/>
        <v>59199</v>
      </c>
      <c r="AF46" s="42">
        <f t="shared" si="8"/>
        <v>48581</v>
      </c>
      <c r="AG46" s="42">
        <f t="shared" si="8"/>
        <v>51116</v>
      </c>
      <c r="AH46" s="42">
        <f t="shared" si="8"/>
        <v>47624</v>
      </c>
    </row>
    <row r="48" ht="12.75">
      <c r="A48" t="s">
        <v>113</v>
      </c>
    </row>
    <row r="49" spans="1:34" ht="13.5" thickBot="1">
      <c r="A49" s="32"/>
      <c r="B49" s="67" t="s">
        <v>80</v>
      </c>
      <c r="C49" s="67" t="s">
        <v>81</v>
      </c>
      <c r="D49" s="67" t="s">
        <v>82</v>
      </c>
      <c r="E49" s="67" t="s">
        <v>83</v>
      </c>
      <c r="F49" s="67" t="s">
        <v>84</v>
      </c>
      <c r="G49" s="67" t="s">
        <v>85</v>
      </c>
      <c r="H49" s="67" t="s">
        <v>86</v>
      </c>
      <c r="I49" s="67" t="s">
        <v>87</v>
      </c>
      <c r="J49" s="67" t="s">
        <v>88</v>
      </c>
      <c r="K49" s="67" t="s">
        <v>89</v>
      </c>
      <c r="L49" s="67" t="s">
        <v>90</v>
      </c>
      <c r="M49" s="67" t="s">
        <v>91</v>
      </c>
      <c r="N49" s="67" t="s">
        <v>92</v>
      </c>
      <c r="O49" s="67" t="s">
        <v>93</v>
      </c>
      <c r="P49" s="67" t="s">
        <v>94</v>
      </c>
      <c r="Q49" s="67" t="s">
        <v>95</v>
      </c>
      <c r="R49" s="67" t="s">
        <v>96</v>
      </c>
      <c r="S49" s="67" t="s">
        <v>97</v>
      </c>
      <c r="T49" s="67" t="s">
        <v>98</v>
      </c>
      <c r="U49" s="67" t="s">
        <v>99</v>
      </c>
      <c r="V49" s="67" t="s">
        <v>100</v>
      </c>
      <c r="W49" s="67" t="s">
        <v>101</v>
      </c>
      <c r="X49" s="67" t="s">
        <v>102</v>
      </c>
      <c r="Y49" s="67" t="s">
        <v>103</v>
      </c>
      <c r="Z49" s="67" t="s">
        <v>104</v>
      </c>
      <c r="AA49" s="67" t="s">
        <v>105</v>
      </c>
      <c r="AB49" s="67" t="s">
        <v>106</v>
      </c>
      <c r="AC49" s="67" t="s">
        <v>107</v>
      </c>
      <c r="AD49" s="67" t="s">
        <v>108</v>
      </c>
      <c r="AE49" s="67" t="s">
        <v>109</v>
      </c>
      <c r="AF49" s="67" t="s">
        <v>110</v>
      </c>
      <c r="AG49" s="67" t="s">
        <v>114</v>
      </c>
      <c r="AH49" s="67" t="s">
        <v>115</v>
      </c>
    </row>
    <row r="50" spans="1:34" ht="13.5" thickTop="1">
      <c r="A50" s="33" t="s">
        <v>70</v>
      </c>
      <c r="B50" s="36">
        <f aca="true" t="shared" si="9" ref="B50:AB50">B28+B29+B31</f>
        <v>0.04453844239860662</v>
      </c>
      <c r="C50" s="36">
        <f t="shared" si="9"/>
        <v>0.04091593634895578</v>
      </c>
      <c r="D50" s="36">
        <f t="shared" si="9"/>
        <v>0.04430779165504792</v>
      </c>
      <c r="E50" s="36">
        <f t="shared" si="9"/>
        <v>0.04221150098775718</v>
      </c>
      <c r="F50" s="36">
        <f t="shared" si="9"/>
        <v>0.043968666245847866</v>
      </c>
      <c r="G50" s="36">
        <f t="shared" si="9"/>
        <v>0.03879180096696212</v>
      </c>
      <c r="H50" s="36">
        <f t="shared" si="9"/>
        <v>0.04195236235845373</v>
      </c>
      <c r="I50" s="36">
        <f t="shared" si="9"/>
        <v>0.03623577090410632</v>
      </c>
      <c r="J50" s="36">
        <f t="shared" si="9"/>
        <v>0.03969286283724248</v>
      </c>
      <c r="K50" s="36">
        <f t="shared" si="9"/>
        <v>0.03536235148375472</v>
      </c>
      <c r="L50" s="36">
        <f t="shared" si="9"/>
        <v>0.027522330993111178</v>
      </c>
      <c r="M50" s="36">
        <f t="shared" si="9"/>
        <v>0.037018756169792694</v>
      </c>
      <c r="N50" s="36">
        <f t="shared" si="9"/>
        <v>0.04054910966768925</v>
      </c>
      <c r="O50" s="36">
        <f t="shared" si="9"/>
        <v>0.03987935017085696</v>
      </c>
      <c r="P50" s="36">
        <f t="shared" si="9"/>
        <v>0.041614330184042383</v>
      </c>
      <c r="Q50" s="36">
        <f t="shared" si="9"/>
        <v>0.038558319646812424</v>
      </c>
      <c r="R50" s="36">
        <f t="shared" si="9"/>
        <v>0.04302733971489567</v>
      </c>
      <c r="S50" s="36">
        <f t="shared" si="9"/>
        <v>0.03930706999648259</v>
      </c>
      <c r="T50" s="36">
        <f t="shared" si="9"/>
        <v>0.035453155791296015</v>
      </c>
      <c r="U50" s="36">
        <f t="shared" si="9"/>
        <v>0.031607582365387105</v>
      </c>
      <c r="V50" s="36">
        <f t="shared" si="9"/>
        <v>0.032891691100284386</v>
      </c>
      <c r="W50" s="36">
        <f t="shared" si="9"/>
        <v>0.02901321805636379</v>
      </c>
      <c r="X50" s="36">
        <f t="shared" si="9"/>
        <v>0.026368203573233447</v>
      </c>
      <c r="Y50" s="36">
        <f t="shared" si="9"/>
        <v>0.03608199610425749</v>
      </c>
      <c r="Z50" s="36">
        <f t="shared" si="9"/>
        <v>0.037553148567704295</v>
      </c>
      <c r="AA50" s="36">
        <f t="shared" si="9"/>
        <v>0.0331848317956993</v>
      </c>
      <c r="AB50" s="36">
        <f t="shared" si="9"/>
        <v>0.03519310653674507</v>
      </c>
      <c r="AC50" s="36">
        <f aca="true" t="shared" si="10" ref="AC50:AH50">AC28+AC29+AC31</f>
        <v>0.03515445661441595</v>
      </c>
      <c r="AD50" s="36">
        <f t="shared" si="10"/>
        <v>0.03380848169397291</v>
      </c>
      <c r="AE50" s="36">
        <f t="shared" si="10"/>
        <v>0.031875538438149296</v>
      </c>
      <c r="AF50" s="36">
        <f t="shared" si="10"/>
        <v>0.03186430909203186</v>
      </c>
      <c r="AG50" s="36">
        <f t="shared" si="10"/>
        <v>0.03079270678456843</v>
      </c>
      <c r="AH50" s="36">
        <f t="shared" si="10"/>
        <v>0.029060977658323536</v>
      </c>
    </row>
    <row r="51" spans="1:34" ht="12.75">
      <c r="A51" s="33" t="s">
        <v>71</v>
      </c>
      <c r="B51" s="36">
        <f aca="true" t="shared" si="11" ref="B51:AB51">B30+B32+B33+B34+B35</f>
        <v>0.27769760305216884</v>
      </c>
      <c r="C51" s="36">
        <f t="shared" si="11"/>
        <v>0.2738010995590877</v>
      </c>
      <c r="D51" s="36">
        <f t="shared" si="11"/>
        <v>0.28834553913439104</v>
      </c>
      <c r="E51" s="36">
        <f t="shared" si="11"/>
        <v>0.29386784212011663</v>
      </c>
      <c r="F51" s="36">
        <f t="shared" si="11"/>
        <v>0.2953734077009841</v>
      </c>
      <c r="G51" s="36">
        <f t="shared" si="11"/>
        <v>0.2967616841257051</v>
      </c>
      <c r="H51" s="36">
        <f t="shared" si="11"/>
        <v>0.2968059351815697</v>
      </c>
      <c r="I51" s="36">
        <f t="shared" si="11"/>
        <v>0.2735363649005702</v>
      </c>
      <c r="J51" s="36">
        <f t="shared" si="11"/>
        <v>0.26694079637477447</v>
      </c>
      <c r="K51" s="36">
        <f t="shared" si="11"/>
        <v>0.25153443324511515</v>
      </c>
      <c r="L51" s="36">
        <f t="shared" si="11"/>
        <v>0.24723952668182866</v>
      </c>
      <c r="M51" s="36">
        <f t="shared" si="11"/>
        <v>0.24863728056998155</v>
      </c>
      <c r="N51" s="36">
        <f t="shared" si="11"/>
        <v>0.2504927248110507</v>
      </c>
      <c r="O51" s="36">
        <f t="shared" si="11"/>
        <v>0.24292232212740772</v>
      </c>
      <c r="P51" s="36">
        <f t="shared" si="11"/>
        <v>0.2527032931025067</v>
      </c>
      <c r="Q51" s="36">
        <f t="shared" si="11"/>
        <v>0.2586375759036871</v>
      </c>
      <c r="R51" s="36">
        <f t="shared" si="11"/>
        <v>0.2669926313614765</v>
      </c>
      <c r="S51" s="36">
        <f t="shared" si="11"/>
        <v>0.2605668894360418</v>
      </c>
      <c r="T51" s="36">
        <f t="shared" si="11"/>
        <v>0.26165349835165846</v>
      </c>
      <c r="U51" s="36">
        <f t="shared" si="11"/>
        <v>0.2470745714409085</v>
      </c>
      <c r="V51" s="36">
        <f t="shared" si="11"/>
        <v>0.23808998919776903</v>
      </c>
      <c r="W51" s="36">
        <f t="shared" si="11"/>
        <v>0.25111536010197577</v>
      </c>
      <c r="X51" s="36">
        <f t="shared" si="11"/>
        <v>0.24171348732126402</v>
      </c>
      <c r="Y51" s="36">
        <f t="shared" si="11"/>
        <v>0.23794174937389853</v>
      </c>
      <c r="Z51" s="36">
        <f t="shared" si="11"/>
        <v>0.24443685794978431</v>
      </c>
      <c r="AA51" s="36">
        <f t="shared" si="11"/>
        <v>0.24806187953835898</v>
      </c>
      <c r="AB51" s="36">
        <f t="shared" si="11"/>
        <v>0.2630449217845175</v>
      </c>
      <c r="AC51" s="36">
        <f aca="true" t="shared" si="12" ref="AC51:AH51">AC30+AC32+AC33+AC34+AC35</f>
        <v>0.2693098095800267</v>
      </c>
      <c r="AD51" s="36">
        <f t="shared" si="12"/>
        <v>0.2703968770331815</v>
      </c>
      <c r="AE51" s="36">
        <f t="shared" si="12"/>
        <v>0.2660011148836974</v>
      </c>
      <c r="AF51" s="36">
        <f t="shared" si="12"/>
        <v>0.2573434058582573</v>
      </c>
      <c r="AG51" s="36">
        <f t="shared" si="12"/>
        <v>0.25528210345097424</v>
      </c>
      <c r="AH51" s="36">
        <f t="shared" si="12"/>
        <v>0.2504619519569965</v>
      </c>
    </row>
    <row r="52" spans="1:34" ht="12.75">
      <c r="A52" s="33" t="s">
        <v>72</v>
      </c>
      <c r="B52" s="43">
        <f aca="true" t="shared" si="13" ref="B52:AH52">B50+B51+B26+B27</f>
        <v>0.6540598822260927</v>
      </c>
      <c r="C52" s="43">
        <f t="shared" si="13"/>
        <v>0.6493204869994376</v>
      </c>
      <c r="D52" s="43">
        <f t="shared" si="13"/>
        <v>0.6613000278849964</v>
      </c>
      <c r="E52" s="43">
        <f t="shared" si="13"/>
        <v>0.667387886199621</v>
      </c>
      <c r="F52" s="43">
        <f t="shared" si="13"/>
        <v>0.6716785496238501</v>
      </c>
      <c r="G52" s="43">
        <f t="shared" si="13"/>
        <v>0.6651012288477034</v>
      </c>
      <c r="H52" s="43">
        <f t="shared" si="13"/>
        <v>0.6810620851229989</v>
      </c>
      <c r="I52" s="43">
        <f t="shared" si="13"/>
        <v>0.6645807259073843</v>
      </c>
      <c r="J52" s="43">
        <f t="shared" si="13"/>
        <v>0.6774640204758108</v>
      </c>
      <c r="K52" s="43">
        <f t="shared" si="13"/>
        <v>0.6836252041218537</v>
      </c>
      <c r="L52" s="43">
        <f t="shared" si="13"/>
        <v>0.6648538185174198</v>
      </c>
      <c r="M52" s="43">
        <f t="shared" si="13"/>
        <v>0.6583329756641916</v>
      </c>
      <c r="N52" s="43">
        <f t="shared" si="13"/>
        <v>0.6603197998251897</v>
      </c>
      <c r="O52" s="43">
        <f t="shared" si="13"/>
        <v>0.676612641505832</v>
      </c>
      <c r="P52" s="43">
        <f t="shared" si="13"/>
        <v>0.6942275135164655</v>
      </c>
      <c r="Q52" s="43">
        <f t="shared" si="13"/>
        <v>0.6885349646661745</v>
      </c>
      <c r="R52" s="43">
        <f t="shared" si="13"/>
        <v>0.7047310791267819</v>
      </c>
      <c r="S52" s="43">
        <f t="shared" si="13"/>
        <v>0.6878004455387502</v>
      </c>
      <c r="T52" s="43">
        <f t="shared" si="13"/>
        <v>0.7057480155441369</v>
      </c>
      <c r="U52" s="43">
        <f t="shared" si="13"/>
        <v>0.6902284209162743</v>
      </c>
      <c r="V52" s="43">
        <f t="shared" si="13"/>
        <v>0.6957298119529993</v>
      </c>
      <c r="W52" s="43">
        <f t="shared" si="13"/>
        <v>0.7130545625848643</v>
      </c>
      <c r="X52" s="43">
        <f t="shared" si="13"/>
        <v>0.6932132346383661</v>
      </c>
      <c r="Y52" s="43">
        <f t="shared" si="13"/>
        <v>0.685581114924404</v>
      </c>
      <c r="Z52" s="43">
        <f t="shared" si="13"/>
        <v>0.6816827534837528</v>
      </c>
      <c r="AA52" s="43">
        <f t="shared" si="13"/>
        <v>0.6782018451608376</v>
      </c>
      <c r="AB52" s="43">
        <f t="shared" si="13"/>
        <v>0.6924656793860123</v>
      </c>
      <c r="AC52" s="43">
        <f t="shared" si="13"/>
        <v>0.689436173236265</v>
      </c>
      <c r="AD52" s="43">
        <f t="shared" si="13"/>
        <v>0.6949902407286922</v>
      </c>
      <c r="AE52" s="43">
        <f t="shared" si="13"/>
        <v>0.6930691396814136</v>
      </c>
      <c r="AF52" s="43">
        <f t="shared" si="13"/>
        <v>0.6993474815256993</v>
      </c>
      <c r="AG52" s="43">
        <f t="shared" si="13"/>
        <v>0.7131230925737537</v>
      </c>
      <c r="AH52" s="43">
        <f t="shared" si="13"/>
        <v>0.7119939526289267</v>
      </c>
    </row>
    <row r="53" spans="1:34" ht="12.75">
      <c r="A53" s="33" t="s">
        <v>73</v>
      </c>
      <c r="B53" s="44">
        <f aca="true" t="shared" si="14" ref="B53:AB53">SUM(B36:B41)</f>
        <v>0.29282574438085757</v>
      </c>
      <c r="C53" s="44">
        <f t="shared" si="14"/>
        <v>0.292217807050968</v>
      </c>
      <c r="D53" s="44">
        <f t="shared" si="14"/>
        <v>0.2848966053685956</v>
      </c>
      <c r="E53" s="44">
        <f t="shared" si="14"/>
        <v>0.2822566556019943</v>
      </c>
      <c r="F53" s="44">
        <f t="shared" si="14"/>
        <v>0.2837319039291369</v>
      </c>
      <c r="G53" s="44">
        <f t="shared" si="14"/>
        <v>0.27845487510072525</v>
      </c>
      <c r="H53" s="44">
        <f t="shared" si="14"/>
        <v>0.2664740335806326</v>
      </c>
      <c r="I53" s="44">
        <f t="shared" si="14"/>
        <v>0.2779466396487673</v>
      </c>
      <c r="J53" s="44">
        <f t="shared" si="14"/>
        <v>0.2738429908110603</v>
      </c>
      <c r="K53" s="44">
        <f t="shared" si="14"/>
        <v>0.2659778140661073</v>
      </c>
      <c r="L53" s="44">
        <f t="shared" si="14"/>
        <v>0.2779590625927025</v>
      </c>
      <c r="M53" s="44">
        <f t="shared" si="14"/>
        <v>0.28668612386797715</v>
      </c>
      <c r="N53" s="44">
        <f t="shared" si="14"/>
        <v>0.2902020600181665</v>
      </c>
      <c r="O53" s="44">
        <f t="shared" si="14"/>
        <v>0.2676059026783499</v>
      </c>
      <c r="P53" s="44">
        <f t="shared" si="14"/>
        <v>0.2588198350718148</v>
      </c>
      <c r="Q53" s="44">
        <f t="shared" si="14"/>
        <v>0.2580047312670454</v>
      </c>
      <c r="R53" s="44">
        <f t="shared" si="14"/>
        <v>0.24855037531850424</v>
      </c>
      <c r="S53" s="44">
        <f t="shared" si="14"/>
        <v>0.25442607574158754</v>
      </c>
      <c r="T53" s="44">
        <f t="shared" si="14"/>
        <v>0.2440282151868427</v>
      </c>
      <c r="U53" s="44">
        <f t="shared" si="14"/>
        <v>0.25245045122846405</v>
      </c>
      <c r="V53" s="44">
        <f t="shared" si="14"/>
        <v>0.24895835629725976</v>
      </c>
      <c r="W53" s="44">
        <f t="shared" si="14"/>
        <v>0.23637320918890461</v>
      </c>
      <c r="X53" s="44">
        <f t="shared" si="14"/>
        <v>0.24875888106067362</v>
      </c>
      <c r="Y53" s="44">
        <f t="shared" si="14"/>
        <v>0.25217976069010295</v>
      </c>
      <c r="Z53" s="44">
        <f t="shared" si="14"/>
        <v>0.2605598833059185</v>
      </c>
      <c r="AA53" s="44">
        <f t="shared" si="14"/>
        <v>0.26268986564703406</v>
      </c>
      <c r="AB53" s="44">
        <f t="shared" si="14"/>
        <v>0.2543354386398382</v>
      </c>
      <c r="AC53" s="44">
        <f aca="true" t="shared" si="15" ref="AC53:AH53">SUM(AC36:AC41)</f>
        <v>0.2533941103167836</v>
      </c>
      <c r="AD53" s="44">
        <f t="shared" si="15"/>
        <v>0.25018039865144615</v>
      </c>
      <c r="AE53" s="44">
        <f t="shared" si="15"/>
        <v>0.24071352556631023</v>
      </c>
      <c r="AF53" s="44">
        <f t="shared" si="15"/>
        <v>0.23706798954323705</v>
      </c>
      <c r="AG53" s="44">
        <f t="shared" si="15"/>
        <v>0.22673918146959854</v>
      </c>
      <c r="AH53" s="44">
        <f t="shared" si="15"/>
        <v>0.23114396102805307</v>
      </c>
    </row>
    <row r="54" spans="1:34" ht="12.75">
      <c r="A54" s="33" t="s">
        <v>74</v>
      </c>
      <c r="B54" s="36">
        <f aca="true" t="shared" si="16" ref="B54:AB54">SUM(B42:B44)</f>
        <v>0.05311437339304968</v>
      </c>
      <c r="C54" s="36">
        <f t="shared" si="16"/>
        <v>0.058461705949594475</v>
      </c>
      <c r="D54" s="36">
        <f t="shared" si="16"/>
        <v>0.05380336674640797</v>
      </c>
      <c r="E54" s="36">
        <f t="shared" si="16"/>
        <v>0.05035545819838465</v>
      </c>
      <c r="F54" s="36">
        <f t="shared" si="16"/>
        <v>0.04458954644701305</v>
      </c>
      <c r="G54" s="36">
        <f t="shared" si="16"/>
        <v>0.05644389605157131</v>
      </c>
      <c r="H54" s="36">
        <f t="shared" si="16"/>
        <v>0.0524638812963686</v>
      </c>
      <c r="I54" s="36">
        <f t="shared" si="16"/>
        <v>0.05747263444384847</v>
      </c>
      <c r="J54" s="36">
        <f t="shared" si="16"/>
        <v>0.048692988713128854</v>
      </c>
      <c r="K54" s="36">
        <f t="shared" si="16"/>
        <v>0.050396981812038964</v>
      </c>
      <c r="L54" s="36">
        <f t="shared" si="16"/>
        <v>0.057187118889877715</v>
      </c>
      <c r="M54" s="36">
        <f t="shared" si="16"/>
        <v>0.05498090046783124</v>
      </c>
      <c r="N54" s="36">
        <f t="shared" si="16"/>
        <v>0.049478140156643646</v>
      </c>
      <c r="O54" s="36">
        <f t="shared" si="16"/>
        <v>0.055781455815818115</v>
      </c>
      <c r="P54" s="36">
        <f t="shared" si="16"/>
        <v>0.04695265141171973</v>
      </c>
      <c r="Q54" s="36">
        <f t="shared" si="16"/>
        <v>0.05346030406678018</v>
      </c>
      <c r="R54" s="36">
        <f t="shared" si="16"/>
        <v>0.04671854555471386</v>
      </c>
      <c r="S54" s="36">
        <f t="shared" si="16"/>
        <v>0.05777347871966233</v>
      </c>
      <c r="T54" s="36">
        <f t="shared" si="16"/>
        <v>0.050223769269020384</v>
      </c>
      <c r="U54" s="36">
        <f t="shared" si="16"/>
        <v>0.05732112785526145</v>
      </c>
      <c r="V54" s="36">
        <f t="shared" si="16"/>
        <v>0.05531183174974097</v>
      </c>
      <c r="W54" s="36">
        <f t="shared" si="16"/>
        <v>0.05057222822623105</v>
      </c>
      <c r="X54" s="36">
        <f t="shared" si="16"/>
        <v>0.058027884300960196</v>
      </c>
      <c r="Y54" s="36">
        <f t="shared" si="16"/>
        <v>0.06223912438549299</v>
      </c>
      <c r="Z54" s="36">
        <f t="shared" si="16"/>
        <v>0.05775736321032866</v>
      </c>
      <c r="AA54" s="36">
        <f t="shared" si="16"/>
        <v>0.05910828919212825</v>
      </c>
      <c r="AB54" s="36">
        <f t="shared" si="16"/>
        <v>0.053198881974149514</v>
      </c>
      <c r="AC54" s="36">
        <f aca="true" t="shared" si="17" ref="AC54:AH54">SUM(AC42:AC44)</f>
        <v>0.057169716446951305</v>
      </c>
      <c r="AD54" s="36">
        <f t="shared" si="17"/>
        <v>0.0548293606198616</v>
      </c>
      <c r="AE54" s="36">
        <f t="shared" si="17"/>
        <v>0.06621733475227622</v>
      </c>
      <c r="AF54" s="36">
        <f t="shared" si="17"/>
        <v>0.06358452893106359</v>
      </c>
      <c r="AG54" s="36">
        <f t="shared" si="17"/>
        <v>0.060137725956647625</v>
      </c>
      <c r="AH54" s="36">
        <f t="shared" si="17"/>
        <v>0.05686208634302033</v>
      </c>
    </row>
    <row r="55" spans="1:34" ht="12.75">
      <c r="A55" s="33" t="s">
        <v>75</v>
      </c>
      <c r="B55" s="36">
        <f aca="true" t="shared" si="18" ref="B55:AB55">+B26+B27</f>
        <v>0.33182383677531724</v>
      </c>
      <c r="C55" s="36">
        <f t="shared" si="18"/>
        <v>0.33460345109139406</v>
      </c>
      <c r="D55" s="36">
        <f t="shared" si="18"/>
        <v>0.3286466970955575</v>
      </c>
      <c r="E55" s="36">
        <f t="shared" si="18"/>
        <v>0.3313085430917472</v>
      </c>
      <c r="F55" s="36">
        <f t="shared" si="18"/>
        <v>0.3323364756770181</v>
      </c>
      <c r="G55" s="36">
        <f t="shared" si="18"/>
        <v>0.32954774375503626</v>
      </c>
      <c r="H55" s="36">
        <f t="shared" si="18"/>
        <v>0.3423037875829754</v>
      </c>
      <c r="I55" s="36">
        <f t="shared" si="18"/>
        <v>0.3548085901027077</v>
      </c>
      <c r="J55" s="36">
        <f t="shared" si="18"/>
        <v>0.3708303612637939</v>
      </c>
      <c r="K55" s="36">
        <f t="shared" si="18"/>
        <v>0.39672841939298387</v>
      </c>
      <c r="L55" s="36">
        <f t="shared" si="18"/>
        <v>0.39009196084248</v>
      </c>
      <c r="M55" s="36">
        <f t="shared" si="18"/>
        <v>0.37267693892441733</v>
      </c>
      <c r="N55" s="36">
        <f t="shared" si="18"/>
        <v>0.36927796534644985</v>
      </c>
      <c r="O55" s="36">
        <f t="shared" si="18"/>
        <v>0.39381096920756736</v>
      </c>
      <c r="P55" s="36">
        <f t="shared" si="18"/>
        <v>0.3999098902299164</v>
      </c>
      <c r="Q55" s="36">
        <f t="shared" si="18"/>
        <v>0.39133906911567495</v>
      </c>
      <c r="R55" s="36">
        <f t="shared" si="18"/>
        <v>0.39471110805040976</v>
      </c>
      <c r="S55" s="36">
        <f t="shared" si="18"/>
        <v>0.3879264861062258</v>
      </c>
      <c r="T55" s="36">
        <f t="shared" si="18"/>
        <v>0.40864136140118235</v>
      </c>
      <c r="U55" s="36">
        <f t="shared" si="18"/>
        <v>0.4115462671099788</v>
      </c>
      <c r="V55" s="36">
        <f t="shared" si="18"/>
        <v>0.4247481316549459</v>
      </c>
      <c r="W55" s="36">
        <f t="shared" si="18"/>
        <v>0.43292598442652475</v>
      </c>
      <c r="X55" s="36">
        <f t="shared" si="18"/>
        <v>0.42513154374386875</v>
      </c>
      <c r="Y55" s="36">
        <f t="shared" si="18"/>
        <v>0.41155736944624804</v>
      </c>
      <c r="Z55" s="36">
        <f t="shared" si="18"/>
        <v>0.3996927469662642</v>
      </c>
      <c r="AA55" s="36">
        <f t="shared" si="18"/>
        <v>0.3969551338267794</v>
      </c>
      <c r="AB55" s="36">
        <f t="shared" si="18"/>
        <v>0.3942276510647498</v>
      </c>
      <c r="AC55" s="36">
        <f aca="true" t="shared" si="19" ref="AC55:AH55">+AC26+AC27</f>
        <v>0.38497190704182244</v>
      </c>
      <c r="AD55" s="36">
        <f t="shared" si="19"/>
        <v>0.3907848820015378</v>
      </c>
      <c r="AE55" s="36">
        <f t="shared" si="19"/>
        <v>0.3951924863595669</v>
      </c>
      <c r="AF55" s="36">
        <f t="shared" si="19"/>
        <v>0.4101397665754102</v>
      </c>
      <c r="AG55" s="36">
        <f t="shared" si="19"/>
        <v>0.4270482823382111</v>
      </c>
      <c r="AH55" s="36">
        <f t="shared" si="19"/>
        <v>0.43247102301360657</v>
      </c>
    </row>
    <row r="56" spans="1:34" ht="12.75">
      <c r="A56" s="33" t="s">
        <v>76</v>
      </c>
      <c r="B56" s="36">
        <f aca="true" t="shared" si="20" ref="B56:AB56">SUM(B28:B44)</f>
        <v>0.6681761632246827</v>
      </c>
      <c r="C56" s="36">
        <f t="shared" si="20"/>
        <v>0.665396548908606</v>
      </c>
      <c r="D56" s="36">
        <f t="shared" si="20"/>
        <v>0.6713533029044424</v>
      </c>
      <c r="E56" s="36">
        <f t="shared" si="20"/>
        <v>0.6686914569082528</v>
      </c>
      <c r="F56" s="36">
        <f t="shared" si="20"/>
        <v>0.6676635243229818</v>
      </c>
      <c r="G56" s="36">
        <f t="shared" si="20"/>
        <v>0.6704522562449637</v>
      </c>
      <c r="H56" s="36">
        <f t="shared" si="20"/>
        <v>0.6576962124170245</v>
      </c>
      <c r="I56" s="36">
        <f t="shared" si="20"/>
        <v>0.6451914098972921</v>
      </c>
      <c r="J56" s="36">
        <f t="shared" si="20"/>
        <v>0.629169638736206</v>
      </c>
      <c r="K56" s="36">
        <f t="shared" si="20"/>
        <v>0.6032715806070161</v>
      </c>
      <c r="L56" s="36">
        <f t="shared" si="20"/>
        <v>0.6099080391575202</v>
      </c>
      <c r="M56" s="36">
        <f t="shared" si="20"/>
        <v>0.6273230610755826</v>
      </c>
      <c r="N56" s="36">
        <f t="shared" si="20"/>
        <v>0.6307220346535501</v>
      </c>
      <c r="O56" s="36">
        <f t="shared" si="20"/>
        <v>0.6061890307924326</v>
      </c>
      <c r="P56" s="36">
        <f t="shared" si="20"/>
        <v>0.6000901097700837</v>
      </c>
      <c r="Q56" s="36">
        <f t="shared" si="20"/>
        <v>0.6086609308843252</v>
      </c>
      <c r="R56" s="36">
        <f t="shared" si="20"/>
        <v>0.6052888919495902</v>
      </c>
      <c r="S56" s="36">
        <f t="shared" si="20"/>
        <v>0.6120735138937742</v>
      </c>
      <c r="T56" s="36">
        <f t="shared" si="20"/>
        <v>0.5913586385988177</v>
      </c>
      <c r="U56" s="36">
        <f t="shared" si="20"/>
        <v>0.5884537328900212</v>
      </c>
      <c r="V56" s="36">
        <f t="shared" si="20"/>
        <v>0.5752518683450542</v>
      </c>
      <c r="W56" s="36">
        <f t="shared" si="20"/>
        <v>0.5670740155734753</v>
      </c>
      <c r="X56" s="36">
        <f t="shared" si="20"/>
        <v>0.5748684562561313</v>
      </c>
      <c r="Y56" s="36">
        <f t="shared" si="20"/>
        <v>0.5884426305537519</v>
      </c>
      <c r="Z56" s="36">
        <f t="shared" si="20"/>
        <v>0.6003072530337359</v>
      </c>
      <c r="AA56" s="36">
        <f t="shared" si="20"/>
        <v>0.6030448661732206</v>
      </c>
      <c r="AB56" s="36">
        <f t="shared" si="20"/>
        <v>0.6057723489352502</v>
      </c>
      <c r="AC56" s="36">
        <f aca="true" t="shared" si="21" ref="AC56:AH56">SUM(AC28:AC44)</f>
        <v>0.6150280929581776</v>
      </c>
      <c r="AD56" s="36">
        <f t="shared" si="21"/>
        <v>0.6092151179984622</v>
      </c>
      <c r="AE56" s="36">
        <f t="shared" si="21"/>
        <v>0.6048075136404331</v>
      </c>
      <c r="AF56" s="36">
        <f t="shared" si="21"/>
        <v>0.5898602334245899</v>
      </c>
      <c r="AG56" s="36">
        <f t="shared" si="21"/>
        <v>0.572951717661789</v>
      </c>
      <c r="AH56" s="36">
        <f t="shared" si="21"/>
        <v>0.5675289769863935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workbookViewId="0" topLeftCell="A1">
      <selection activeCell="AG24" sqref="AG24"/>
    </sheetView>
  </sheetViews>
  <sheetFormatPr defaultColWidth="11.421875" defaultRowHeight="12.75"/>
  <cols>
    <col min="1" max="1" width="37.140625" style="0" customWidth="1"/>
    <col min="2" max="2" width="13.57421875" style="0" customWidth="1"/>
  </cols>
  <sheetData>
    <row r="1" spans="1:2" ht="12.75">
      <c r="A1" s="31" t="s">
        <v>113</v>
      </c>
      <c r="B1" s="45"/>
    </row>
    <row r="2" spans="1:34" ht="13.5" thickBot="1">
      <c r="A2" s="46" t="s">
        <v>0</v>
      </c>
      <c r="B2" s="67" t="s">
        <v>80</v>
      </c>
      <c r="C2" s="67" t="s">
        <v>81</v>
      </c>
      <c r="D2" s="67" t="s">
        <v>82</v>
      </c>
      <c r="E2" s="67" t="s">
        <v>83</v>
      </c>
      <c r="F2" s="67" t="s">
        <v>84</v>
      </c>
      <c r="G2" s="67" t="s">
        <v>85</v>
      </c>
      <c r="H2" s="67" t="s">
        <v>86</v>
      </c>
      <c r="I2" s="67" t="s">
        <v>87</v>
      </c>
      <c r="J2" s="67" t="s">
        <v>88</v>
      </c>
      <c r="K2" s="67" t="s">
        <v>89</v>
      </c>
      <c r="L2" s="67" t="s">
        <v>90</v>
      </c>
      <c r="M2" s="67" t="s">
        <v>91</v>
      </c>
      <c r="N2" s="67" t="s">
        <v>92</v>
      </c>
      <c r="O2" s="67" t="s">
        <v>93</v>
      </c>
      <c r="P2" s="67" t="s">
        <v>94</v>
      </c>
      <c r="Q2" s="67" t="s">
        <v>95</v>
      </c>
      <c r="R2" s="67" t="s">
        <v>96</v>
      </c>
      <c r="S2" s="67" t="s">
        <v>97</v>
      </c>
      <c r="T2" s="67" t="s">
        <v>98</v>
      </c>
      <c r="U2" s="67" t="s">
        <v>99</v>
      </c>
      <c r="V2" s="67" t="s">
        <v>100</v>
      </c>
      <c r="W2" s="67" t="s">
        <v>101</v>
      </c>
      <c r="X2" s="67" t="s">
        <v>102</v>
      </c>
      <c r="Y2" s="67" t="s">
        <v>103</v>
      </c>
      <c r="Z2" s="67" t="s">
        <v>104</v>
      </c>
      <c r="AA2" s="67" t="s">
        <v>105</v>
      </c>
      <c r="AB2" s="67" t="s">
        <v>106</v>
      </c>
      <c r="AC2" s="67" t="s">
        <v>107</v>
      </c>
      <c r="AD2" s="67" t="s">
        <v>108</v>
      </c>
      <c r="AE2" s="67" t="s">
        <v>109</v>
      </c>
      <c r="AF2" s="67" t="s">
        <v>110</v>
      </c>
      <c r="AG2" s="67" t="s">
        <v>114</v>
      </c>
      <c r="AH2" s="67" t="s">
        <v>115</v>
      </c>
    </row>
    <row r="3" spans="1:34" ht="13.5" thickTop="1">
      <c r="A3" s="47" t="s">
        <v>29</v>
      </c>
      <c r="B3" s="48">
        <f>'Tableau sortie'!D30</f>
        <v>761</v>
      </c>
      <c r="C3" s="48">
        <f>'Tableau sortie'!E30</f>
        <v>766</v>
      </c>
      <c r="D3" s="48">
        <f>'Tableau sortie'!F30</f>
        <v>743</v>
      </c>
      <c r="E3" s="48">
        <f>'Tableau sortie'!G30</f>
        <v>661</v>
      </c>
      <c r="F3" s="48">
        <f>'Tableau sortie'!H30</f>
        <v>611</v>
      </c>
      <c r="G3" s="48">
        <f>'Tableau sortie'!I30</f>
        <v>681</v>
      </c>
      <c r="H3" s="48">
        <f>'Tableau sortie'!J30</f>
        <v>763</v>
      </c>
      <c r="I3" s="48">
        <f>'Tableau sortie'!K30</f>
        <v>820</v>
      </c>
      <c r="J3" s="48">
        <f>'Tableau sortie'!L30</f>
        <v>1008</v>
      </c>
      <c r="K3" s="48">
        <f>'Tableau sortie'!M30</f>
        <v>1015</v>
      </c>
      <c r="L3" s="48">
        <f>'Tableau sortie'!N30</f>
        <v>900</v>
      </c>
      <c r="M3" s="48">
        <f>'Tableau sortie'!O30</f>
        <v>894</v>
      </c>
      <c r="N3" s="48">
        <f>'Tableau sortie'!P30</f>
        <v>891</v>
      </c>
      <c r="O3" s="48">
        <f>'Tableau sortie'!Q30</f>
        <v>919</v>
      </c>
      <c r="P3" s="48">
        <f>'Tableau sortie'!R30</f>
        <v>797</v>
      </c>
      <c r="Q3" s="48">
        <f>'Tableau sortie'!S30</f>
        <v>665</v>
      </c>
      <c r="R3" s="48">
        <f>'Tableau sortie'!T30</f>
        <v>670</v>
      </c>
      <c r="S3" s="48">
        <f>'Tableau sortie'!U30</f>
        <v>831</v>
      </c>
      <c r="T3" s="48">
        <f>'Tableau sortie'!V30</f>
        <v>715</v>
      </c>
      <c r="U3" s="48">
        <f>'Tableau sortie'!W30</f>
        <v>788</v>
      </c>
      <c r="V3" s="48">
        <f>'Tableau sortie'!X30</f>
        <v>873</v>
      </c>
      <c r="W3" s="48">
        <f>'Tableau sortie'!Y30</f>
        <v>969</v>
      </c>
      <c r="X3" s="48">
        <f>'Tableau sortie'!Z30</f>
        <v>939</v>
      </c>
      <c r="Y3" s="48">
        <f>'Tableau sortie'!AA30</f>
        <v>846</v>
      </c>
      <c r="Z3" s="48">
        <f>'Tableau sortie'!AB30</f>
        <v>905</v>
      </c>
      <c r="AA3" s="48">
        <f>'Tableau sortie'!AC30</f>
        <v>838</v>
      </c>
      <c r="AB3" s="48">
        <f>'Tableau sortie'!AD30</f>
        <v>625</v>
      </c>
      <c r="AC3" s="48">
        <f>'Tableau sortie'!AE30</f>
        <v>714</v>
      </c>
      <c r="AD3" s="48">
        <f>'Tableau sortie'!AF30</f>
        <v>573</v>
      </c>
      <c r="AE3" s="48">
        <f>'Tableau sortie'!AG30</f>
        <v>723</v>
      </c>
      <c r="AF3" s="48">
        <f>'Tableau sortie'!AH30</f>
        <v>679</v>
      </c>
      <c r="AG3" s="48">
        <f>'Tableau sortie'!AI30</f>
        <v>820</v>
      </c>
      <c r="AH3" s="48">
        <f>'Tableau sortie'!AJ30</f>
        <v>876</v>
      </c>
    </row>
    <row r="4" spans="1:34" ht="12.75">
      <c r="A4" s="49" t="s">
        <v>28</v>
      </c>
      <c r="B4" s="50">
        <f>'Tableau sortie'!D29</f>
        <v>682</v>
      </c>
      <c r="C4" s="50">
        <f>'Tableau sortie'!E29</f>
        <v>694</v>
      </c>
      <c r="D4" s="50">
        <f>'Tableau sortie'!F29</f>
        <v>604</v>
      </c>
      <c r="E4" s="50">
        <f>'Tableau sortie'!G29</f>
        <v>573</v>
      </c>
      <c r="F4" s="50">
        <f>'Tableau sortie'!H29</f>
        <v>523</v>
      </c>
      <c r="G4" s="50">
        <f>'Tableau sortie'!I29</f>
        <v>585</v>
      </c>
      <c r="H4" s="50">
        <f>'Tableau sortie'!J29</f>
        <v>601</v>
      </c>
      <c r="I4" s="50">
        <f>'Tableau sortie'!K29</f>
        <v>615</v>
      </c>
      <c r="J4" s="50">
        <f>'Tableau sortie'!L29</f>
        <v>699</v>
      </c>
      <c r="K4" s="50">
        <f>'Tableau sortie'!M29</f>
        <v>657</v>
      </c>
      <c r="L4" s="50">
        <f>'Tableau sortie'!N29</f>
        <v>672</v>
      </c>
      <c r="M4" s="50">
        <f>'Tableau sortie'!O29</f>
        <v>722</v>
      </c>
      <c r="N4" s="50">
        <f>'Tableau sortie'!P29</f>
        <v>520</v>
      </c>
      <c r="O4" s="50">
        <f>'Tableau sortie'!Q29</f>
        <v>522</v>
      </c>
      <c r="P4" s="50">
        <f>'Tableau sortie'!R29</f>
        <v>517</v>
      </c>
      <c r="Q4" s="50">
        <f>'Tableau sortie'!S29</f>
        <v>512</v>
      </c>
      <c r="R4" s="50">
        <f>'Tableau sortie'!T29</f>
        <v>503</v>
      </c>
      <c r="S4" s="50">
        <f>'Tableau sortie'!U29</f>
        <v>664</v>
      </c>
      <c r="T4" s="50">
        <f>'Tableau sortie'!V29</f>
        <v>450</v>
      </c>
      <c r="U4" s="50">
        <f>'Tableau sortie'!W29</f>
        <v>546</v>
      </c>
      <c r="V4" s="50">
        <f>'Tableau sortie'!X29</f>
        <v>654</v>
      </c>
      <c r="W4" s="50">
        <f>'Tableau sortie'!Y29</f>
        <v>709</v>
      </c>
      <c r="X4" s="50">
        <f>'Tableau sortie'!Z29</f>
        <v>741</v>
      </c>
      <c r="Y4" s="50">
        <f>'Tableau sortie'!AA29</f>
        <v>718</v>
      </c>
      <c r="Z4" s="50">
        <f>'Tableau sortie'!AB29</f>
        <v>598</v>
      </c>
      <c r="AA4" s="50">
        <f>'Tableau sortie'!AC29</f>
        <v>509</v>
      </c>
      <c r="AB4" s="50">
        <f>'Tableau sortie'!AD29</f>
        <v>490</v>
      </c>
      <c r="AC4" s="50">
        <f>'Tableau sortie'!AE29</f>
        <v>537</v>
      </c>
      <c r="AD4" s="50">
        <f>'Tableau sortie'!AF29</f>
        <v>462</v>
      </c>
      <c r="AE4" s="50">
        <f>'Tableau sortie'!AG29</f>
        <v>573</v>
      </c>
      <c r="AF4" s="50">
        <f>'Tableau sortie'!AH29</f>
        <v>510</v>
      </c>
      <c r="AG4" s="50">
        <f>'Tableau sortie'!AI29</f>
        <v>599</v>
      </c>
      <c r="AH4" s="50">
        <f>'Tableau sortie'!AJ29</f>
        <v>603</v>
      </c>
    </row>
    <row r="5" spans="1:34" ht="12.75">
      <c r="A5" s="51" t="s">
        <v>46</v>
      </c>
      <c r="B5" s="52">
        <f>'Tableau sortie'!D47</f>
        <v>2801</v>
      </c>
      <c r="C5" s="52">
        <f>'Tableau sortie'!E47</f>
        <v>2637</v>
      </c>
      <c r="D5" s="52">
        <f>'Tableau sortie'!F47</f>
        <v>2676</v>
      </c>
      <c r="E5" s="52">
        <f>'Tableau sortie'!G47</f>
        <v>2946</v>
      </c>
      <c r="F5" s="52">
        <f>'Tableau sortie'!H47</f>
        <v>3094</v>
      </c>
      <c r="G5" s="52">
        <f>'Tableau sortie'!I47</f>
        <v>3157</v>
      </c>
      <c r="H5" s="52">
        <f>'Tableau sortie'!J47</f>
        <v>2624</v>
      </c>
      <c r="I5" s="52">
        <f>'Tableau sortie'!K47</f>
        <v>2511</v>
      </c>
      <c r="J5" s="52">
        <f>'Tableau sortie'!L47</f>
        <v>2575</v>
      </c>
      <c r="K5" s="52">
        <f>'Tableau sortie'!M47</f>
        <v>2264</v>
      </c>
      <c r="L5" s="52">
        <f>'Tableau sortie'!N47</f>
        <v>2237</v>
      </c>
      <c r="M5" s="52">
        <f>'Tableau sortie'!O47</f>
        <v>2518</v>
      </c>
      <c r="N5" s="52">
        <f>'Tableau sortie'!P47</f>
        <v>2564</v>
      </c>
      <c r="O5" s="52">
        <f>'Tableau sortie'!Q47</f>
        <v>2367</v>
      </c>
      <c r="P5" s="52">
        <f>'Tableau sortie'!R47</f>
        <v>2772</v>
      </c>
      <c r="Q5" s="52">
        <f>'Tableau sortie'!S47</f>
        <v>2710</v>
      </c>
      <c r="R5" s="52">
        <f>'Tableau sortie'!T47</f>
        <v>2735</v>
      </c>
      <c r="S5" s="52">
        <f>'Tableau sortie'!U47</f>
        <v>2936</v>
      </c>
      <c r="T5" s="52">
        <f>'Tableau sortie'!V47</f>
        <v>2245</v>
      </c>
      <c r="U5" s="52">
        <f>'Tableau sortie'!W47</f>
        <v>2239</v>
      </c>
      <c r="V5" s="52">
        <f>'Tableau sortie'!X47</f>
        <v>2305</v>
      </c>
      <c r="W5" s="52">
        <f>'Tableau sortie'!Y47</f>
        <v>2074</v>
      </c>
      <c r="X5" s="52">
        <f>'Tableau sortie'!Z47</f>
        <v>2250</v>
      </c>
      <c r="Y5" s="52">
        <f>'Tableau sortie'!AA47</f>
        <v>2301</v>
      </c>
      <c r="Z5" s="52">
        <f>'Tableau sortie'!AB47</f>
        <v>2850</v>
      </c>
      <c r="AA5" s="52">
        <f>'Tableau sortie'!AC47</f>
        <v>2579</v>
      </c>
      <c r="AB5" s="52">
        <f>'Tableau sortie'!AD47</f>
        <v>2476</v>
      </c>
      <c r="AC5" s="52">
        <f>'Tableau sortie'!AE47</f>
        <v>3480</v>
      </c>
      <c r="AD5" s="52">
        <f>'Tableau sortie'!AF47</f>
        <v>3106</v>
      </c>
      <c r="AE5" s="52">
        <f>'Tableau sortie'!AG47</f>
        <v>2676</v>
      </c>
      <c r="AF5" s="52">
        <f>'Tableau sortie'!AH47</f>
        <v>2232</v>
      </c>
      <c r="AG5" s="52">
        <f>'Tableau sortie'!AI47</f>
        <v>2630</v>
      </c>
      <c r="AH5" s="52">
        <f>'Tableau sortie'!AJ47</f>
        <v>2410</v>
      </c>
    </row>
    <row r="6" spans="1:34" ht="12.75">
      <c r="A6" s="53" t="s">
        <v>47</v>
      </c>
      <c r="B6" s="54">
        <f>'Tableau sortie'!D48</f>
        <v>1167</v>
      </c>
      <c r="C6" s="54">
        <f>'Tableau sortie'!E48</f>
        <v>1077</v>
      </c>
      <c r="D6" s="54">
        <f>'Tableau sortie'!F48</f>
        <v>993</v>
      </c>
      <c r="E6" s="54">
        <f>'Tableau sortie'!G48</f>
        <v>971</v>
      </c>
      <c r="F6" s="54">
        <f>'Tableau sortie'!H48</f>
        <v>842</v>
      </c>
      <c r="G6" s="54">
        <f>'Tableau sortie'!I48</f>
        <v>1008</v>
      </c>
      <c r="H6" s="54">
        <f>'Tableau sortie'!J48</f>
        <v>993</v>
      </c>
      <c r="I6" s="54">
        <f>'Tableau sortie'!K48</f>
        <v>1027</v>
      </c>
      <c r="J6" s="54">
        <f>'Tableau sortie'!L48</f>
        <v>1274</v>
      </c>
      <c r="K6" s="54">
        <f>'Tableau sortie'!M48</f>
        <v>1148</v>
      </c>
      <c r="L6" s="54">
        <f>'Tableau sortie'!N48</f>
        <v>1098</v>
      </c>
      <c r="M6" s="54">
        <f>'Tableau sortie'!O48</f>
        <v>1311</v>
      </c>
      <c r="N6" s="54">
        <f>'Tableau sortie'!P48</f>
        <v>980</v>
      </c>
      <c r="O6" s="54">
        <f>'Tableau sortie'!Q48</f>
        <v>990</v>
      </c>
      <c r="P6" s="54">
        <f>'Tableau sortie'!R48</f>
        <v>872</v>
      </c>
      <c r="Q6" s="54">
        <f>'Tableau sortie'!S48</f>
        <v>811</v>
      </c>
      <c r="R6" s="54">
        <f>'Tableau sortie'!T48</f>
        <v>784</v>
      </c>
      <c r="S6" s="54">
        <f>'Tableau sortie'!U48</f>
        <v>1113</v>
      </c>
      <c r="T6" s="54">
        <f>'Tableau sortie'!V48</f>
        <v>804</v>
      </c>
      <c r="U6" s="54">
        <f>'Tableau sortie'!W48</f>
        <v>902</v>
      </c>
      <c r="V6" s="54">
        <f>'Tableau sortie'!X48</f>
        <v>1050</v>
      </c>
      <c r="W6" s="54">
        <f>'Tableau sortie'!Y48</f>
        <v>1154</v>
      </c>
      <c r="X6" s="54">
        <f>'Tableau sortie'!Z48</f>
        <v>1183</v>
      </c>
      <c r="Y6" s="54">
        <f>'Tableau sortie'!AA48</f>
        <v>1166</v>
      </c>
      <c r="Z6" s="54">
        <f>'Tableau sortie'!AB48</f>
        <v>1155</v>
      </c>
      <c r="AA6" s="54">
        <f>'Tableau sortie'!AC48</f>
        <v>974</v>
      </c>
      <c r="AB6" s="54">
        <f>'Tableau sortie'!AD48</f>
        <v>836</v>
      </c>
      <c r="AC6" s="54">
        <f>'Tableau sortie'!AE48</f>
        <v>875</v>
      </c>
      <c r="AD6" s="54">
        <f>'Tableau sortie'!AF48</f>
        <v>751</v>
      </c>
      <c r="AE6" s="54">
        <f>'Tableau sortie'!AG48</f>
        <v>911</v>
      </c>
      <c r="AF6" s="54">
        <f>'Tableau sortie'!AH48</f>
        <v>756</v>
      </c>
      <c r="AG6" s="54">
        <f>'Tableau sortie'!AI48</f>
        <v>976</v>
      </c>
      <c r="AH6" s="54">
        <f>'Tableau sortie'!AJ48</f>
        <v>938</v>
      </c>
    </row>
    <row r="7" spans="1:34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s="58" customFormat="1" ht="13.5" thickTop="1">
      <c r="A8" s="56" t="s">
        <v>77</v>
      </c>
      <c r="B8" s="57">
        <f aca="true" t="shared" si="0" ref="B8:AB8">SUM(B3:B6)</f>
        <v>5411</v>
      </c>
      <c r="C8" s="57">
        <f t="shared" si="0"/>
        <v>5174</v>
      </c>
      <c r="D8" s="57">
        <f t="shared" si="0"/>
        <v>5016</v>
      </c>
      <c r="E8" s="57">
        <f t="shared" si="0"/>
        <v>5151</v>
      </c>
      <c r="F8" s="57">
        <f t="shared" si="0"/>
        <v>5070</v>
      </c>
      <c r="G8" s="57">
        <f t="shared" si="0"/>
        <v>5431</v>
      </c>
      <c r="H8" s="57">
        <f t="shared" si="0"/>
        <v>4981</v>
      </c>
      <c r="I8" s="57">
        <f t="shared" si="0"/>
        <v>4973</v>
      </c>
      <c r="J8" s="57">
        <f t="shared" si="0"/>
        <v>5556</v>
      </c>
      <c r="K8" s="57">
        <f t="shared" si="0"/>
        <v>5084</v>
      </c>
      <c r="L8" s="57">
        <f t="shared" si="0"/>
        <v>4907</v>
      </c>
      <c r="M8" s="57">
        <f t="shared" si="0"/>
        <v>5445</v>
      </c>
      <c r="N8" s="57">
        <f t="shared" si="0"/>
        <v>4955</v>
      </c>
      <c r="O8" s="57">
        <f t="shared" si="0"/>
        <v>4798</v>
      </c>
      <c r="P8" s="57">
        <f t="shared" si="0"/>
        <v>4958</v>
      </c>
      <c r="Q8" s="57">
        <f t="shared" si="0"/>
        <v>4698</v>
      </c>
      <c r="R8" s="57">
        <f t="shared" si="0"/>
        <v>4692</v>
      </c>
      <c r="S8" s="57">
        <f t="shared" si="0"/>
        <v>5544</v>
      </c>
      <c r="T8" s="57">
        <f t="shared" si="0"/>
        <v>4214</v>
      </c>
      <c r="U8" s="57">
        <f t="shared" si="0"/>
        <v>4475</v>
      </c>
      <c r="V8" s="57">
        <f t="shared" si="0"/>
        <v>4882</v>
      </c>
      <c r="W8" s="57">
        <f t="shared" si="0"/>
        <v>4906</v>
      </c>
      <c r="X8" s="57">
        <f t="shared" si="0"/>
        <v>5113</v>
      </c>
      <c r="Y8" s="57">
        <f t="shared" si="0"/>
        <v>5031</v>
      </c>
      <c r="Z8" s="57">
        <f t="shared" si="0"/>
        <v>5508</v>
      </c>
      <c r="AA8" s="57">
        <f t="shared" si="0"/>
        <v>4900</v>
      </c>
      <c r="AB8" s="57">
        <f t="shared" si="0"/>
        <v>4427</v>
      </c>
      <c r="AC8" s="57">
        <f aca="true" t="shared" si="1" ref="AC8:AH8">SUM(AC3:AC6)</f>
        <v>5606</v>
      </c>
      <c r="AD8" s="57">
        <f t="shared" si="1"/>
        <v>4892</v>
      </c>
      <c r="AE8" s="57">
        <f t="shared" si="1"/>
        <v>4883</v>
      </c>
      <c r="AF8" s="57">
        <f t="shared" si="1"/>
        <v>4177</v>
      </c>
      <c r="AG8" s="57">
        <f t="shared" si="1"/>
        <v>5025</v>
      </c>
      <c r="AH8" s="57">
        <f t="shared" si="1"/>
        <v>4827</v>
      </c>
    </row>
    <row r="9" s="59" customFormat="1" ht="12.75"/>
    <row r="10" spans="1:3" s="59" customFormat="1" ht="12.75">
      <c r="A10" s="59" t="s">
        <v>67</v>
      </c>
      <c r="B10" s="45"/>
      <c r="C10" s="59" t="s">
        <v>78</v>
      </c>
    </row>
    <row r="11" spans="1:34" ht="13.5" thickBot="1">
      <c r="A11" s="46" t="s">
        <v>0</v>
      </c>
      <c r="B11" s="67" t="s">
        <v>80</v>
      </c>
      <c r="C11" s="67" t="s">
        <v>81</v>
      </c>
      <c r="D11" s="67" t="s">
        <v>82</v>
      </c>
      <c r="E11" s="67" t="s">
        <v>83</v>
      </c>
      <c r="F11" s="67" t="s">
        <v>84</v>
      </c>
      <c r="G11" s="67" t="s">
        <v>85</v>
      </c>
      <c r="H11" s="67" t="s">
        <v>86</v>
      </c>
      <c r="I11" s="67" t="s">
        <v>87</v>
      </c>
      <c r="J11" s="67" t="s">
        <v>88</v>
      </c>
      <c r="K11" s="67" t="s">
        <v>89</v>
      </c>
      <c r="L11" s="67" t="s">
        <v>90</v>
      </c>
      <c r="M11" s="67" t="s">
        <v>91</v>
      </c>
      <c r="N11" s="67" t="s">
        <v>92</v>
      </c>
      <c r="O11" s="67" t="s">
        <v>93</v>
      </c>
      <c r="P11" s="67" t="s">
        <v>94</v>
      </c>
      <c r="Q11" s="67" t="s">
        <v>95</v>
      </c>
      <c r="R11" s="67" t="s">
        <v>96</v>
      </c>
      <c r="S11" s="67" t="s">
        <v>97</v>
      </c>
      <c r="T11" s="67" t="s">
        <v>98</v>
      </c>
      <c r="U11" s="67" t="s">
        <v>99</v>
      </c>
      <c r="V11" s="67" t="s">
        <v>100</v>
      </c>
      <c r="W11" s="67" t="s">
        <v>101</v>
      </c>
      <c r="X11" s="67" t="s">
        <v>102</v>
      </c>
      <c r="Y11" s="67" t="s">
        <v>103</v>
      </c>
      <c r="Z11" s="67" t="s">
        <v>104</v>
      </c>
      <c r="AA11" s="67" t="s">
        <v>105</v>
      </c>
      <c r="AB11" s="67" t="s">
        <v>106</v>
      </c>
      <c r="AC11" s="67" t="s">
        <v>107</v>
      </c>
      <c r="AD11" s="67" t="s">
        <v>108</v>
      </c>
      <c r="AE11" s="67" t="s">
        <v>109</v>
      </c>
      <c r="AF11" s="67" t="s">
        <v>110</v>
      </c>
      <c r="AG11" s="67" t="s">
        <v>114</v>
      </c>
      <c r="AH11" s="67" t="s">
        <v>115</v>
      </c>
    </row>
    <row r="12" spans="1:34" ht="13.5" thickTop="1">
      <c r="A12" s="47" t="s">
        <v>29</v>
      </c>
      <c r="B12" s="60">
        <f aca="true" t="shared" si="2" ref="B12:AB15">B3/B$8</f>
        <v>0.14063943818148217</v>
      </c>
      <c r="C12" s="60">
        <f t="shared" si="2"/>
        <v>0.14804793196752997</v>
      </c>
      <c r="D12" s="60">
        <f t="shared" si="2"/>
        <v>0.14812599681020733</v>
      </c>
      <c r="E12" s="60">
        <f t="shared" si="2"/>
        <v>0.1283245971655989</v>
      </c>
      <c r="F12" s="60">
        <f t="shared" si="2"/>
        <v>0.12051282051282051</v>
      </c>
      <c r="G12" s="60">
        <f t="shared" si="2"/>
        <v>0.12539127232553857</v>
      </c>
      <c r="H12" s="60">
        <f t="shared" si="2"/>
        <v>0.15318209194940774</v>
      </c>
      <c r="I12" s="60">
        <f t="shared" si="2"/>
        <v>0.16489040820430323</v>
      </c>
      <c r="J12" s="60">
        <f t="shared" si="2"/>
        <v>0.18142548596112312</v>
      </c>
      <c r="K12" s="60">
        <f t="shared" si="2"/>
        <v>0.19964594807238395</v>
      </c>
      <c r="L12" s="60">
        <f t="shared" si="2"/>
        <v>0.18341145302628897</v>
      </c>
      <c r="M12" s="60">
        <f t="shared" si="2"/>
        <v>0.16418732782369147</v>
      </c>
      <c r="N12" s="60">
        <f t="shared" si="2"/>
        <v>0.1798183652875883</v>
      </c>
      <c r="O12" s="60">
        <f t="shared" si="2"/>
        <v>0.19153814089203836</v>
      </c>
      <c r="P12" s="60">
        <f t="shared" si="2"/>
        <v>0.1607503025413473</v>
      </c>
      <c r="Q12" s="60">
        <f t="shared" si="2"/>
        <v>0.1415495955725841</v>
      </c>
      <c r="R12" s="60">
        <f t="shared" si="2"/>
        <v>0.14279624893435636</v>
      </c>
      <c r="S12" s="60">
        <f t="shared" si="2"/>
        <v>0.14989177489177488</v>
      </c>
      <c r="T12" s="60">
        <f t="shared" si="2"/>
        <v>0.16967252017085904</v>
      </c>
      <c r="U12" s="60">
        <f t="shared" si="2"/>
        <v>0.17608938547486033</v>
      </c>
      <c r="V12" s="60">
        <f t="shared" si="2"/>
        <v>0.17882015567390414</v>
      </c>
      <c r="W12" s="60">
        <f t="shared" si="2"/>
        <v>0.1975132490827558</v>
      </c>
      <c r="X12" s="60">
        <f t="shared" si="2"/>
        <v>0.18364952082925876</v>
      </c>
      <c r="Y12" s="60">
        <f t="shared" si="2"/>
        <v>0.16815742397137745</v>
      </c>
      <c r="Z12" s="60">
        <f t="shared" si="2"/>
        <v>0.16430646332607116</v>
      </c>
      <c r="AA12" s="60">
        <f t="shared" si="2"/>
        <v>0.1710204081632653</v>
      </c>
      <c r="AB12" s="60">
        <f t="shared" si="2"/>
        <v>0.141179128077705</v>
      </c>
      <c r="AC12" s="60">
        <f aca="true" t="shared" si="3" ref="AC12:AD15">AC3/AC$8</f>
        <v>0.1273635390652872</v>
      </c>
      <c r="AD12" s="60">
        <f t="shared" si="3"/>
        <v>0.11713000817661488</v>
      </c>
      <c r="AE12" s="60">
        <f aca="true" t="shared" si="4" ref="AE12:AF15">AE3/AE$8</f>
        <v>0.1480647143149703</v>
      </c>
      <c r="AF12" s="60">
        <f t="shared" si="4"/>
        <v>0.16255685898970554</v>
      </c>
      <c r="AG12" s="60">
        <f aca="true" t="shared" si="5" ref="AG12:AH15">AG3/AG$8</f>
        <v>0.16318407960199005</v>
      </c>
      <c r="AH12" s="60">
        <f t="shared" si="5"/>
        <v>0.1814791796146675</v>
      </c>
    </row>
    <row r="13" spans="1:34" ht="12.75">
      <c r="A13" s="49" t="s">
        <v>28</v>
      </c>
      <c r="B13" s="61">
        <f t="shared" si="2"/>
        <v>0.12603954906671594</v>
      </c>
      <c r="C13" s="61">
        <f t="shared" si="2"/>
        <v>0.13413219945883262</v>
      </c>
      <c r="D13" s="61">
        <f t="shared" si="2"/>
        <v>0.12041467304625199</v>
      </c>
      <c r="E13" s="61">
        <f t="shared" si="2"/>
        <v>0.11124053581828772</v>
      </c>
      <c r="F13" s="61">
        <f t="shared" si="2"/>
        <v>0.10315581854043393</v>
      </c>
      <c r="G13" s="61">
        <f t="shared" si="2"/>
        <v>0.10771496961885473</v>
      </c>
      <c r="H13" s="61">
        <f t="shared" si="2"/>
        <v>0.12065850230877334</v>
      </c>
      <c r="I13" s="61">
        <f t="shared" si="2"/>
        <v>0.12366780615322742</v>
      </c>
      <c r="J13" s="61">
        <f t="shared" si="2"/>
        <v>0.12580993520518358</v>
      </c>
      <c r="K13" s="61">
        <f t="shared" si="2"/>
        <v>0.1292289535798584</v>
      </c>
      <c r="L13" s="61">
        <f t="shared" si="2"/>
        <v>0.1369472182596291</v>
      </c>
      <c r="M13" s="61">
        <f t="shared" si="2"/>
        <v>0.13259871441689625</v>
      </c>
      <c r="N13" s="61">
        <f t="shared" si="2"/>
        <v>0.10494450050454086</v>
      </c>
      <c r="O13" s="61">
        <f t="shared" si="2"/>
        <v>0.10879533138807837</v>
      </c>
      <c r="P13" s="61">
        <f t="shared" si="2"/>
        <v>0.10427591770875352</v>
      </c>
      <c r="Q13" s="61">
        <f t="shared" si="2"/>
        <v>0.10898254576415496</v>
      </c>
      <c r="R13" s="61">
        <f t="shared" si="2"/>
        <v>0.10720375106564364</v>
      </c>
      <c r="S13" s="61">
        <f t="shared" si="2"/>
        <v>0.11976911976911978</v>
      </c>
      <c r="T13" s="61">
        <f t="shared" si="2"/>
        <v>0.10678690080683437</v>
      </c>
      <c r="U13" s="61">
        <f t="shared" si="2"/>
        <v>0.12201117318435754</v>
      </c>
      <c r="V13" s="61">
        <f t="shared" si="2"/>
        <v>0.13396149119213438</v>
      </c>
      <c r="W13" s="61">
        <f t="shared" si="2"/>
        <v>0.14451691805951897</v>
      </c>
      <c r="X13" s="61">
        <f t="shared" si="2"/>
        <v>0.14492470174066105</v>
      </c>
      <c r="Y13" s="61">
        <f t="shared" si="2"/>
        <v>0.1427151659709799</v>
      </c>
      <c r="Z13" s="61">
        <f t="shared" si="2"/>
        <v>0.10856935366739288</v>
      </c>
      <c r="AA13" s="61">
        <f t="shared" si="2"/>
        <v>0.10387755102040816</v>
      </c>
      <c r="AB13" s="61">
        <f t="shared" si="2"/>
        <v>0.11068443641292071</v>
      </c>
      <c r="AC13" s="61">
        <f t="shared" si="3"/>
        <v>0.09579022475918658</v>
      </c>
      <c r="AD13" s="61">
        <f t="shared" si="3"/>
        <v>0.09443990188062143</v>
      </c>
      <c r="AE13" s="61">
        <f t="shared" si="4"/>
        <v>0.11734589391767355</v>
      </c>
      <c r="AF13" s="61">
        <f t="shared" si="4"/>
        <v>0.1220971989466124</v>
      </c>
      <c r="AG13" s="61">
        <f t="shared" si="5"/>
        <v>0.11920398009950249</v>
      </c>
      <c r="AH13" s="61">
        <f t="shared" si="5"/>
        <v>0.12492231199502797</v>
      </c>
    </row>
    <row r="14" spans="1:34" ht="12.75">
      <c r="A14" s="51" t="s">
        <v>46</v>
      </c>
      <c r="B14" s="62">
        <f t="shared" si="2"/>
        <v>0.5176492330437996</v>
      </c>
      <c r="C14" s="62">
        <f t="shared" si="2"/>
        <v>0.5096637031310398</v>
      </c>
      <c r="D14" s="62">
        <f t="shared" si="2"/>
        <v>0.5334928229665071</v>
      </c>
      <c r="E14" s="62">
        <f t="shared" si="2"/>
        <v>0.5719277810133955</v>
      </c>
      <c r="F14" s="62">
        <f t="shared" si="2"/>
        <v>0.6102564102564103</v>
      </c>
      <c r="G14" s="62">
        <f t="shared" si="2"/>
        <v>0.5812925796354262</v>
      </c>
      <c r="H14" s="62">
        <f t="shared" si="2"/>
        <v>0.5268018470186709</v>
      </c>
      <c r="I14" s="62">
        <f t="shared" si="2"/>
        <v>0.5049266036597627</v>
      </c>
      <c r="J14" s="62">
        <f t="shared" si="2"/>
        <v>0.4634629229661627</v>
      </c>
      <c r="K14" s="62">
        <f t="shared" si="2"/>
        <v>0.44531864673485444</v>
      </c>
      <c r="L14" s="62">
        <f t="shared" si="2"/>
        <v>0.45587935602200935</v>
      </c>
      <c r="M14" s="62">
        <f t="shared" si="2"/>
        <v>0.46244260789715336</v>
      </c>
      <c r="N14" s="62">
        <f t="shared" si="2"/>
        <v>0.5174571140262362</v>
      </c>
      <c r="O14" s="62">
        <f t="shared" si="2"/>
        <v>0.4933305543976657</v>
      </c>
      <c r="P14" s="62">
        <f t="shared" si="2"/>
        <v>0.5590964098426785</v>
      </c>
      <c r="Q14" s="62">
        <f t="shared" si="2"/>
        <v>0.576841209025117</v>
      </c>
      <c r="R14" s="62">
        <f t="shared" si="2"/>
        <v>0.5829070758738278</v>
      </c>
      <c r="S14" s="62">
        <f t="shared" si="2"/>
        <v>0.5295815295815296</v>
      </c>
      <c r="T14" s="62">
        <f t="shared" si="2"/>
        <v>0.5327479829140959</v>
      </c>
      <c r="U14" s="62">
        <f t="shared" si="2"/>
        <v>0.5003351955307263</v>
      </c>
      <c r="V14" s="62">
        <f t="shared" si="2"/>
        <v>0.47214256452273656</v>
      </c>
      <c r="W14" s="62">
        <f t="shared" si="2"/>
        <v>0.4227476559315124</v>
      </c>
      <c r="X14" s="62">
        <f t="shared" si="2"/>
        <v>0.44005476237042834</v>
      </c>
      <c r="Y14" s="62">
        <f t="shared" si="2"/>
        <v>0.4573643410852713</v>
      </c>
      <c r="Z14" s="62">
        <f t="shared" si="2"/>
        <v>0.5174291938997821</v>
      </c>
      <c r="AA14" s="62">
        <f t="shared" si="2"/>
        <v>0.5263265306122449</v>
      </c>
      <c r="AB14" s="62">
        <f t="shared" si="2"/>
        <v>0.5592952337926361</v>
      </c>
      <c r="AC14" s="62">
        <f t="shared" si="3"/>
        <v>0.6207634677131645</v>
      </c>
      <c r="AD14" s="62">
        <f t="shared" si="3"/>
        <v>0.6349141455437449</v>
      </c>
      <c r="AE14" s="62">
        <f t="shared" si="4"/>
        <v>0.5480237558877739</v>
      </c>
      <c r="AF14" s="62">
        <f t="shared" si="4"/>
        <v>0.5343548000957625</v>
      </c>
      <c r="AG14" s="62">
        <f t="shared" si="5"/>
        <v>0.5233830845771145</v>
      </c>
      <c r="AH14" s="62">
        <f t="shared" si="5"/>
        <v>0.49927491195359436</v>
      </c>
    </row>
    <row r="15" spans="1:34" ht="12.75">
      <c r="A15" s="53" t="s">
        <v>47</v>
      </c>
      <c r="B15" s="63">
        <f t="shared" si="2"/>
        <v>0.21567177970800222</v>
      </c>
      <c r="C15" s="63">
        <f t="shared" si="2"/>
        <v>0.2081561654425976</v>
      </c>
      <c r="D15" s="63">
        <f t="shared" si="2"/>
        <v>0.19796650717703348</v>
      </c>
      <c r="E15" s="63">
        <f t="shared" si="2"/>
        <v>0.18850708600271793</v>
      </c>
      <c r="F15" s="63">
        <f t="shared" si="2"/>
        <v>0.16607495069033532</v>
      </c>
      <c r="G15" s="63">
        <f t="shared" si="2"/>
        <v>0.18560117842018045</v>
      </c>
      <c r="H15" s="63">
        <f t="shared" si="2"/>
        <v>0.19935755872314795</v>
      </c>
      <c r="I15" s="63">
        <f t="shared" si="2"/>
        <v>0.2065151819827066</v>
      </c>
      <c r="J15" s="63">
        <f t="shared" si="2"/>
        <v>0.2293016558675306</v>
      </c>
      <c r="K15" s="63">
        <f t="shared" si="2"/>
        <v>0.22580645161290322</v>
      </c>
      <c r="L15" s="63">
        <f t="shared" si="2"/>
        <v>0.22376197269207254</v>
      </c>
      <c r="M15" s="63">
        <f t="shared" si="2"/>
        <v>0.24077134986225895</v>
      </c>
      <c r="N15" s="63">
        <f t="shared" si="2"/>
        <v>0.1977800201816347</v>
      </c>
      <c r="O15" s="63">
        <f t="shared" si="2"/>
        <v>0.2063359733222176</v>
      </c>
      <c r="P15" s="63">
        <f t="shared" si="2"/>
        <v>0.17587736990722067</v>
      </c>
      <c r="Q15" s="63">
        <f t="shared" si="2"/>
        <v>0.1726266496381439</v>
      </c>
      <c r="R15" s="63">
        <f t="shared" si="2"/>
        <v>0.16709292412617222</v>
      </c>
      <c r="S15" s="63">
        <f t="shared" si="2"/>
        <v>0.20075757575757575</v>
      </c>
      <c r="T15" s="63">
        <f t="shared" si="2"/>
        <v>0.19079259610821073</v>
      </c>
      <c r="U15" s="63">
        <f t="shared" si="2"/>
        <v>0.20156424581005586</v>
      </c>
      <c r="V15" s="63">
        <f t="shared" si="2"/>
        <v>0.2150757886112249</v>
      </c>
      <c r="W15" s="63">
        <f t="shared" si="2"/>
        <v>0.2352221769262128</v>
      </c>
      <c r="X15" s="63">
        <f t="shared" si="2"/>
        <v>0.23137101505965188</v>
      </c>
      <c r="Y15" s="63">
        <f t="shared" si="2"/>
        <v>0.2317630689723713</v>
      </c>
      <c r="Z15" s="63">
        <f t="shared" si="2"/>
        <v>0.20969498910675383</v>
      </c>
      <c r="AA15" s="63">
        <f t="shared" si="2"/>
        <v>0.19877551020408163</v>
      </c>
      <c r="AB15" s="63">
        <f t="shared" si="2"/>
        <v>0.1888412017167382</v>
      </c>
      <c r="AC15" s="63">
        <f t="shared" si="3"/>
        <v>0.15608276846236174</v>
      </c>
      <c r="AD15" s="63">
        <f t="shared" si="3"/>
        <v>0.1535159443990188</v>
      </c>
      <c r="AE15" s="63">
        <f t="shared" si="4"/>
        <v>0.18656563587958222</v>
      </c>
      <c r="AF15" s="63">
        <f t="shared" si="4"/>
        <v>0.18099114196791957</v>
      </c>
      <c r="AG15" s="63">
        <f t="shared" si="5"/>
        <v>0.19422885572139303</v>
      </c>
      <c r="AH15" s="63">
        <f t="shared" si="5"/>
        <v>0.19432359643671018</v>
      </c>
    </row>
    <row r="16" spans="1:34" ht="13.5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s="58" customFormat="1" ht="13.5" thickTop="1">
      <c r="A17" s="56" t="s">
        <v>77</v>
      </c>
      <c r="B17" s="64">
        <f aca="true" t="shared" si="6" ref="B17:AB17">SUM(B12:B15)</f>
        <v>0.9999999999999999</v>
      </c>
      <c r="C17" s="64">
        <f t="shared" si="6"/>
        <v>1</v>
      </c>
      <c r="D17" s="64">
        <f t="shared" si="6"/>
        <v>0.9999999999999999</v>
      </c>
      <c r="E17" s="64">
        <f t="shared" si="6"/>
        <v>1</v>
      </c>
      <c r="F17" s="64">
        <f t="shared" si="6"/>
        <v>1.0000000000000002</v>
      </c>
      <c r="G17" s="64">
        <f t="shared" si="6"/>
        <v>0.9999999999999999</v>
      </c>
      <c r="H17" s="64">
        <f t="shared" si="6"/>
        <v>1</v>
      </c>
      <c r="I17" s="64">
        <f t="shared" si="6"/>
        <v>0.9999999999999999</v>
      </c>
      <c r="J17" s="64">
        <f t="shared" si="6"/>
        <v>1</v>
      </c>
      <c r="K17" s="64">
        <f t="shared" si="6"/>
        <v>1</v>
      </c>
      <c r="L17" s="64">
        <f t="shared" si="6"/>
        <v>1</v>
      </c>
      <c r="M17" s="64">
        <f t="shared" si="6"/>
        <v>1</v>
      </c>
      <c r="N17" s="64">
        <f t="shared" si="6"/>
        <v>1</v>
      </c>
      <c r="O17" s="64">
        <f t="shared" si="6"/>
        <v>1</v>
      </c>
      <c r="P17" s="64">
        <f t="shared" si="6"/>
        <v>1</v>
      </c>
      <c r="Q17" s="64">
        <f t="shared" si="6"/>
        <v>1</v>
      </c>
      <c r="R17" s="64">
        <f t="shared" si="6"/>
        <v>1</v>
      </c>
      <c r="S17" s="64">
        <f t="shared" si="6"/>
        <v>1</v>
      </c>
      <c r="T17" s="64">
        <f t="shared" si="6"/>
        <v>1</v>
      </c>
      <c r="U17" s="64">
        <f t="shared" si="6"/>
        <v>0.9999999999999999</v>
      </c>
      <c r="V17" s="64">
        <f t="shared" si="6"/>
        <v>1</v>
      </c>
      <c r="W17" s="64">
        <f t="shared" si="6"/>
        <v>1</v>
      </c>
      <c r="X17" s="64">
        <f t="shared" si="6"/>
        <v>1</v>
      </c>
      <c r="Y17" s="64">
        <f t="shared" si="6"/>
        <v>1</v>
      </c>
      <c r="Z17" s="64">
        <f t="shared" si="6"/>
        <v>1</v>
      </c>
      <c r="AA17" s="64">
        <f t="shared" si="6"/>
        <v>1</v>
      </c>
      <c r="AB17" s="64">
        <f t="shared" si="6"/>
        <v>1</v>
      </c>
      <c r="AC17" s="64">
        <f aca="true" t="shared" si="7" ref="AC17:AH17">SUM(AC12:AC15)</f>
        <v>1</v>
      </c>
      <c r="AD17" s="64">
        <f t="shared" si="7"/>
        <v>1</v>
      </c>
      <c r="AE17" s="64">
        <f t="shared" si="7"/>
        <v>0.9999999999999999</v>
      </c>
      <c r="AF17" s="64">
        <f t="shared" si="7"/>
        <v>1</v>
      </c>
      <c r="AG17" s="64">
        <f t="shared" si="7"/>
        <v>1</v>
      </c>
      <c r="AH17" s="64">
        <f t="shared" si="7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François PESTY</cp:lastModifiedBy>
  <cp:lastPrinted>2007-06-27T13:53:20Z</cp:lastPrinted>
  <dcterms:created xsi:type="dcterms:W3CDTF">2007-01-13T19:08:34Z</dcterms:created>
  <dcterms:modified xsi:type="dcterms:W3CDTF">2011-04-03T19:52:16Z</dcterms:modified>
  <cp:category/>
  <cp:version/>
  <cp:contentType/>
  <cp:contentStatus/>
</cp:coreProperties>
</file>