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C8F"/>
  <workbookPr/>
  <bookViews>
    <workbookView xWindow="120" yWindow="105" windowWidth="12780" windowHeight="6795" firstSheet="4" activeTab="4"/>
  </bookViews>
  <sheets>
    <sheet name="Montant remb annuel total" sheetId="1" r:id="rId1"/>
    <sheet name="Nombre de patients (mensuel)" sheetId="2" r:id="rId2"/>
    <sheet name="Montant remb annuel (ATC)" sheetId="3" r:id="rId3"/>
    <sheet name="% Montant remb annuel (ATC)" sheetId="4" r:id="rId4"/>
    <sheet name="% Patient (ATC)" sheetId="5" r:id="rId5"/>
    <sheet name="Nombre de patient (ATC)" sheetId="6" r:id="rId6"/>
    <sheet name="% PM unités (ATC)" sheetId="7" r:id="rId7"/>
    <sheet name="unités mensuelles (ATC)" sheetId="8" r:id="rId8"/>
    <sheet name="unités mensuelles (CIP) (%)" sheetId="9" r:id="rId9"/>
    <sheet name="unités mensuelles (CIP)" sheetId="10" r:id="rId10"/>
    <sheet name="Coût moy par patient mensuel" sheetId="11" r:id="rId11"/>
    <sheet name="Coût par patient" sheetId="12" r:id="rId12"/>
    <sheet name="Req0" sheetId="13" r:id="rId13"/>
    <sheet name="Req1" sheetId="14" r:id="rId14"/>
    <sheet name="Req2" sheetId="15" r:id="rId15"/>
    <sheet name="Req3" sheetId="16" r:id="rId16"/>
  </sheets>
  <definedNames/>
  <calcPr fullCalcOnLoad="1"/>
</workbook>
</file>

<file path=xl/sharedStrings.xml><?xml version="1.0" encoding="utf-8"?>
<sst xmlns="http://schemas.openxmlformats.org/spreadsheetml/2006/main" count="739" uniqueCount="126">
  <si>
    <t>Hypolipémiant</t>
  </si>
  <si>
    <t>Simvastatine 10mg</t>
  </si>
  <si>
    <t>Simvastatine 20mg</t>
  </si>
  <si>
    <t>Simvastatine 40mg</t>
  </si>
  <si>
    <t>Pravastatine 20mg</t>
  </si>
  <si>
    <t>Pravastatine 40mg</t>
  </si>
  <si>
    <t>Fluvastatine 20mg</t>
  </si>
  <si>
    <t>Fluvastatine 40mg</t>
  </si>
  <si>
    <t>Fluvastatine 80mg</t>
  </si>
  <si>
    <t>TAHOR 10mg</t>
  </si>
  <si>
    <t>TAHOR 20mg</t>
  </si>
  <si>
    <t>TAHOR 40mg</t>
  </si>
  <si>
    <t>TAHOR 80mg</t>
  </si>
  <si>
    <t>CRESTOR 5mg</t>
  </si>
  <si>
    <t>CRESTOR 10mg</t>
  </si>
  <si>
    <t>CRESTOR 20mg</t>
  </si>
  <si>
    <t>EZETROL 10mg</t>
  </si>
  <si>
    <t>INEGY 10/20mg</t>
  </si>
  <si>
    <t>INEGY 10/40mg</t>
  </si>
  <si>
    <t>LIPUR 450mg</t>
  </si>
  <si>
    <t>Fénofibrate 67mg</t>
  </si>
  <si>
    <t>Fénofibrate 100mg</t>
  </si>
  <si>
    <t>Fénofibrate 140mg</t>
  </si>
  <si>
    <t>Fénofibrate 145mg</t>
  </si>
  <si>
    <t>Fénofibrate 160mg</t>
  </si>
  <si>
    <t>Fénofibrate 200mg</t>
  </si>
  <si>
    <t>Fénofibrate 300mg</t>
  </si>
  <si>
    <t>Simvastatine</t>
  </si>
  <si>
    <t>Pravastatine</t>
  </si>
  <si>
    <t>Fluvastatine</t>
  </si>
  <si>
    <t>TAHOR</t>
  </si>
  <si>
    <t>CRESTOR</t>
  </si>
  <si>
    <t>EZETROL</t>
  </si>
  <si>
    <t>INEGY</t>
  </si>
  <si>
    <t>LIPUR</t>
  </si>
  <si>
    <t>Fénofibrate</t>
  </si>
  <si>
    <t>Total panier</t>
  </si>
  <si>
    <t>Statines de 1er choix</t>
  </si>
  <si>
    <t>avr-5</t>
  </si>
  <si>
    <t>mai-5</t>
  </si>
  <si>
    <t>juin-5</t>
  </si>
  <si>
    <t>juil-5</t>
  </si>
  <si>
    <t>août-5</t>
  </si>
  <si>
    <t>sept-5</t>
  </si>
  <si>
    <t>oct-5</t>
  </si>
  <si>
    <t>nov-5</t>
  </si>
  <si>
    <t>déc-5</t>
  </si>
  <si>
    <t>janv-6</t>
  </si>
  <si>
    <t>févr-6</t>
  </si>
  <si>
    <t>mars-6</t>
  </si>
  <si>
    <t>avr-6</t>
  </si>
  <si>
    <t>mai-6</t>
  </si>
  <si>
    <t>juin-6</t>
  </si>
  <si>
    <t>PRAVADUAL 40/81mg</t>
  </si>
  <si>
    <t>PRAVADUAL</t>
  </si>
  <si>
    <t>mai-4</t>
  </si>
  <si>
    <t>juin-4</t>
  </si>
  <si>
    <t>juil-4</t>
  </si>
  <si>
    <t>août-4</t>
  </si>
  <si>
    <t>sept-4</t>
  </si>
  <si>
    <t>oct-4</t>
  </si>
  <si>
    <t>nov-4</t>
  </si>
  <si>
    <t>déc-4</t>
  </si>
  <si>
    <t>janv-5</t>
  </si>
  <si>
    <t>fév-5</t>
  </si>
  <si>
    <t>mars-5</t>
  </si>
  <si>
    <t>fév-6</t>
  </si>
  <si>
    <t>déc04</t>
  </si>
  <si>
    <t>Statines "stricto sensu"</t>
  </si>
  <si>
    <t>juil-6</t>
  </si>
  <si>
    <t>août-6</t>
  </si>
  <si>
    <t>CPAM de l'Aude - Patients remboursés</t>
  </si>
  <si>
    <t>CPAM de l'Aude - Boites remboursées</t>
  </si>
  <si>
    <t>%</t>
  </si>
  <si>
    <t>Pravastatine 10mg</t>
  </si>
  <si>
    <t>sept-6</t>
  </si>
  <si>
    <t>oct-6</t>
  </si>
  <si>
    <t>Simvastatine 10mg (ZOCOR®/LODALÈS®)</t>
  </si>
  <si>
    <t>Simvastatine 20mg (ZOCOR®/LODALÈS®)</t>
  </si>
  <si>
    <t>Simvastatine 40mg (ZOCOR®/LODALÈS®)</t>
  </si>
  <si>
    <t>Pravastatine 10mg (ÉLISOR®/VASTEN®)</t>
  </si>
  <si>
    <t>Pravastatine 20mg (ÉLISOR®/VASTEN®)</t>
  </si>
  <si>
    <t>Pravastatine 40mg (ÉLISOR®/VASTEN®)</t>
  </si>
  <si>
    <t>PRAVADUAL® 40/81mg</t>
  </si>
  <si>
    <t>Fluvastatine 20mg (FRACTAL®/LESCOL®)</t>
  </si>
  <si>
    <t>Fluvastatine 40mg (FRACTAL®/LESCOL®)</t>
  </si>
  <si>
    <t>Fluvastatine 80mg (FRACTAL®/LESCOL®)</t>
  </si>
  <si>
    <t>TAHOR® 10mg</t>
  </si>
  <si>
    <t>TAHOR® 20mg</t>
  </si>
  <si>
    <t>TAHOR® 40mg</t>
  </si>
  <si>
    <t>TAHOR® 80mg</t>
  </si>
  <si>
    <t>CRESTOR® 5mg</t>
  </si>
  <si>
    <t>CRESTOR® 10mg</t>
  </si>
  <si>
    <t>CRESTOR® 20mg</t>
  </si>
  <si>
    <t>ÉZÉTROL® 10mg</t>
  </si>
  <si>
    <t>INÉGY® 10/20mg</t>
  </si>
  <si>
    <t>INÉGY® 10/40mg</t>
  </si>
  <si>
    <t>LIPUR® 450mg</t>
  </si>
  <si>
    <t>Fénofibrate 67mg (LIPANTHYL®)</t>
  </si>
  <si>
    <t>Fénofibrate 100mg (LIPANTHYL®)</t>
  </si>
  <si>
    <t>Fénofibrate 140mg (LIPANTHYL®)</t>
  </si>
  <si>
    <t>Fénofibrate 145mg (LIPANTHYL®)</t>
  </si>
  <si>
    <t>Fénofibrate 160mg (LIPANTHYL®)</t>
  </si>
  <si>
    <t>Fénofibrate 200mg (LIPANTHYL®)</t>
  </si>
  <si>
    <t>Fénofibrate 300mg (LIPANTHYL®)</t>
  </si>
  <si>
    <t>nov-6</t>
  </si>
  <si>
    <t>déc-6</t>
  </si>
  <si>
    <t>CADUET® (=TAHOR® 10mg)</t>
  </si>
  <si>
    <t>CADUET</t>
  </si>
  <si>
    <t>jan-7</t>
  </si>
  <si>
    <t>Coller ici Req1       Ordre</t>
  </si>
  <si>
    <t xml:space="preserve"> Hypolipémiant</t>
  </si>
  <si>
    <t xml:space="preserve"> Ordre</t>
  </si>
  <si>
    <t>Coller ici Req2       Ordre</t>
  </si>
  <si>
    <t>Coller ici Req3       Ordre</t>
  </si>
  <si>
    <t>Coller ici Req0 Ordre</t>
  </si>
  <si>
    <t>févr-5</t>
  </si>
  <si>
    <t>déc5</t>
  </si>
  <si>
    <t>jan-6</t>
  </si>
  <si>
    <t>déc6</t>
  </si>
  <si>
    <t>€</t>
  </si>
  <si>
    <t>CPAM de l'Aude - Montants remboursés (cumuls annuels)</t>
  </si>
  <si>
    <t>CPAM de L'Aude - Montants remboursés mensuels</t>
  </si>
  <si>
    <t>Statines 2ème choix</t>
  </si>
  <si>
    <t>Ezétimibe</t>
  </si>
  <si>
    <t>Fibrates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</si>
</sst>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#\ ##,000&quot; €&quot;;\-#\ ##,000&quot; €&quot;"/>
    <numFmt numFmtId="170" formatCode="#,##0\ &quot;€&quot;"/>
    <numFmt numFmtId="171" formatCode="#,##0.00\ &quot;€&quot;"/>
  </numFmts>
  <fonts count="2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9.75"/>
      <name val="Arial"/>
      <family val="0"/>
    </font>
    <font>
      <b/>
      <sz val="13.75"/>
      <name val="Arial"/>
      <family val="2"/>
    </font>
    <font>
      <sz val="9.75"/>
      <name val="Arial"/>
      <family val="0"/>
    </font>
    <font>
      <sz val="13.75"/>
      <name val="Arial"/>
      <family val="2"/>
    </font>
    <font>
      <b/>
      <sz val="15"/>
      <name val="Arial"/>
      <family val="2"/>
    </font>
    <font>
      <sz val="10.25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2" borderId="1" xfId="19" applyFont="1" applyFill="1" applyBorder="1" applyAlignment="1">
      <alignment wrapText="1"/>
      <protection/>
    </xf>
    <xf numFmtId="0" fontId="1" fillId="2" borderId="2" xfId="19" applyFont="1" applyFill="1" applyBorder="1" applyAlignment="1">
      <alignment wrapText="1"/>
      <protection/>
    </xf>
    <xf numFmtId="0" fontId="3" fillId="2" borderId="3" xfId="19" applyFont="1" applyFill="1" applyBorder="1" applyAlignment="1">
      <alignment wrapText="1"/>
      <protection/>
    </xf>
    <xf numFmtId="170" fontId="0" fillId="3" borderId="1" xfId="0" applyNumberFormat="1" applyFill="1" applyBorder="1" applyAlignment="1">
      <alignment/>
    </xf>
    <xf numFmtId="168" fontId="0" fillId="3" borderId="1" xfId="0" applyNumberFormat="1" applyFill="1" applyBorder="1" applyAlignment="1">
      <alignment/>
    </xf>
    <xf numFmtId="168" fontId="4" fillId="3" borderId="3" xfId="0" applyNumberFormat="1" applyFont="1" applyFill="1" applyBorder="1" applyAlignment="1">
      <alignment/>
    </xf>
    <xf numFmtId="0" fontId="1" fillId="2" borderId="3" xfId="19" applyFont="1" applyFill="1" applyBorder="1" applyAlignment="1">
      <alignment wrapText="1"/>
      <protection/>
    </xf>
    <xf numFmtId="170" fontId="0" fillId="3" borderId="3" xfId="0" applyNumberFormat="1" applyFill="1" applyBorder="1" applyAlignment="1">
      <alignment/>
    </xf>
    <xf numFmtId="0" fontId="9" fillId="2" borderId="2" xfId="19" applyFont="1" applyFill="1" applyBorder="1" applyAlignment="1">
      <alignment wrapText="1"/>
      <protection/>
    </xf>
    <xf numFmtId="168" fontId="0" fillId="3" borderId="3" xfId="0" applyNumberFormat="1" applyFill="1" applyBorder="1" applyAlignment="1">
      <alignment/>
    </xf>
    <xf numFmtId="0" fontId="3" fillId="2" borderId="2" xfId="19" applyFont="1" applyFill="1" applyBorder="1" applyAlignment="1">
      <alignment wrapText="1"/>
      <protection/>
    </xf>
    <xf numFmtId="17" fontId="3" fillId="4" borderId="2" xfId="20" applyNumberFormat="1" applyFont="1" applyFill="1" applyBorder="1" applyAlignment="1">
      <alignment horizontal="center"/>
      <protection/>
    </xf>
    <xf numFmtId="170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4" xfId="0" applyFill="1" applyBorder="1" applyAlignment="1">
      <alignment/>
    </xf>
    <xf numFmtId="170" fontId="4" fillId="3" borderId="5" xfId="0" applyNumberFormat="1" applyFont="1" applyFill="1" applyBorder="1" applyAlignment="1">
      <alignment/>
    </xf>
    <xf numFmtId="0" fontId="3" fillId="3" borderId="2" xfId="19" applyFont="1" applyFill="1" applyBorder="1" applyAlignment="1">
      <alignment wrapText="1"/>
      <protection/>
    </xf>
    <xf numFmtId="170" fontId="4" fillId="3" borderId="6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5" borderId="1" xfId="19" applyFont="1" applyFill="1" applyBorder="1" applyAlignment="1">
      <alignment wrapText="1"/>
      <protection/>
    </xf>
    <xf numFmtId="3" fontId="0" fillId="6" borderId="1" xfId="0" applyNumberFormat="1" applyFill="1" applyBorder="1" applyAlignment="1">
      <alignment/>
    </xf>
    <xf numFmtId="0" fontId="1" fillId="5" borderId="2" xfId="19" applyFont="1" applyFill="1" applyBorder="1" applyAlignment="1">
      <alignment wrapText="1"/>
      <protection/>
    </xf>
    <xf numFmtId="3" fontId="0" fillId="6" borderId="2" xfId="0" applyNumberFormat="1" applyFill="1" applyBorder="1" applyAlignment="1">
      <alignment/>
    </xf>
    <xf numFmtId="0" fontId="3" fillId="5" borderId="3" xfId="19" applyFont="1" applyFill="1" applyBorder="1" applyAlignment="1">
      <alignment wrapText="1"/>
      <protection/>
    </xf>
    <xf numFmtId="168" fontId="0" fillId="6" borderId="1" xfId="0" applyNumberFormat="1" applyFill="1" applyBorder="1" applyAlignment="1">
      <alignment/>
    </xf>
    <xf numFmtId="168" fontId="0" fillId="6" borderId="2" xfId="0" applyNumberFormat="1" applyFill="1" applyBorder="1" applyAlignment="1">
      <alignment/>
    </xf>
    <xf numFmtId="168" fontId="4" fillId="6" borderId="3" xfId="0" applyNumberFormat="1" applyFont="1" applyFill="1" applyBorder="1" applyAlignment="1">
      <alignment/>
    </xf>
    <xf numFmtId="0" fontId="1" fillId="5" borderId="3" xfId="19" applyFont="1" applyFill="1" applyBorder="1" applyAlignment="1">
      <alignment wrapText="1"/>
      <protection/>
    </xf>
    <xf numFmtId="168" fontId="0" fillId="6" borderId="3" xfId="0" applyNumberFormat="1" applyFill="1" applyBorder="1" applyAlignment="1">
      <alignment/>
    </xf>
    <xf numFmtId="3" fontId="0" fillId="6" borderId="3" xfId="0" applyNumberFormat="1" applyFill="1" applyBorder="1" applyAlignment="1">
      <alignment/>
    </xf>
    <xf numFmtId="0" fontId="1" fillId="7" borderId="1" xfId="19" applyFont="1" applyFill="1" applyBorder="1" applyAlignment="1">
      <alignment wrapText="1"/>
      <protection/>
    </xf>
    <xf numFmtId="3" fontId="0" fillId="8" borderId="1" xfId="0" applyNumberFormat="1" applyFill="1" applyBorder="1" applyAlignment="1">
      <alignment/>
    </xf>
    <xf numFmtId="0" fontId="1" fillId="7" borderId="2" xfId="19" applyFont="1" applyFill="1" applyBorder="1" applyAlignment="1">
      <alignment wrapText="1"/>
      <protection/>
    </xf>
    <xf numFmtId="3" fontId="0" fillId="8" borderId="2" xfId="0" applyNumberFormat="1" applyFill="1" applyBorder="1" applyAlignment="1">
      <alignment/>
    </xf>
    <xf numFmtId="0" fontId="3" fillId="7" borderId="3" xfId="19" applyFont="1" applyFill="1" applyBorder="1" applyAlignment="1">
      <alignment wrapText="1"/>
      <protection/>
    </xf>
    <xf numFmtId="168" fontId="0" fillId="8" borderId="1" xfId="0" applyNumberFormat="1" applyFill="1" applyBorder="1" applyAlignment="1">
      <alignment/>
    </xf>
    <xf numFmtId="168" fontId="0" fillId="8" borderId="2" xfId="0" applyNumberFormat="1" applyFill="1" applyBorder="1" applyAlignment="1">
      <alignment/>
    </xf>
    <xf numFmtId="0" fontId="1" fillId="7" borderId="3" xfId="19" applyFont="1" applyFill="1" applyBorder="1" applyAlignment="1">
      <alignment wrapText="1"/>
      <protection/>
    </xf>
    <xf numFmtId="3" fontId="0" fillId="8" borderId="3" xfId="0" applyNumberFormat="1" applyFill="1" applyBorder="1" applyAlignment="1">
      <alignment/>
    </xf>
    <xf numFmtId="0" fontId="3" fillId="7" borderId="2" xfId="19" applyFont="1" applyFill="1" applyBorder="1" applyAlignment="1">
      <alignment wrapText="1"/>
      <protection/>
    </xf>
    <xf numFmtId="168" fontId="0" fillId="8" borderId="3" xfId="0" applyNumberFormat="1" applyFill="1" applyBorder="1" applyAlignment="1">
      <alignment/>
    </xf>
    <xf numFmtId="0" fontId="1" fillId="0" borderId="0" xfId="22" applyFont="1" applyFill="1" applyBorder="1" applyAlignment="1">
      <alignment wrapText="1"/>
      <protection/>
    </xf>
    <xf numFmtId="169" fontId="1" fillId="0" borderId="0" xfId="22" applyNumberFormat="1" applyFont="1" applyFill="1" applyBorder="1" applyAlignment="1">
      <alignment horizontal="right" wrapText="1"/>
      <protection/>
    </xf>
    <xf numFmtId="0" fontId="9" fillId="7" borderId="2" xfId="19" applyFont="1" applyFill="1" applyBorder="1" applyAlignment="1">
      <alignment wrapText="1"/>
      <protection/>
    </xf>
    <xf numFmtId="17" fontId="3" fillId="9" borderId="2" xfId="20" applyNumberFormat="1" applyFont="1" applyFill="1" applyBorder="1" applyAlignment="1">
      <alignment horizontal="center"/>
      <protection/>
    </xf>
    <xf numFmtId="3" fontId="4" fillId="8" borderId="5" xfId="0" applyNumberFormat="1" applyFont="1" applyFill="1" applyBorder="1" applyAlignment="1">
      <alignment/>
    </xf>
    <xf numFmtId="0" fontId="3" fillId="8" borderId="2" xfId="19" applyFont="1" applyFill="1" applyBorder="1" applyAlignment="1">
      <alignment wrapText="1"/>
      <protection/>
    </xf>
    <xf numFmtId="3" fontId="4" fillId="8" borderId="6" xfId="0" applyNumberFormat="1" applyFont="1" applyFill="1" applyBorder="1" applyAlignment="1">
      <alignment/>
    </xf>
    <xf numFmtId="168" fontId="4" fillId="8" borderId="3" xfId="0" applyNumberFormat="1" applyFont="1" applyFill="1" applyBorder="1" applyAlignment="1">
      <alignment/>
    </xf>
    <xf numFmtId="0" fontId="3" fillId="8" borderId="7" xfId="19" applyFont="1" applyFill="1" applyBorder="1" applyAlignment="1">
      <alignment wrapText="1"/>
      <protection/>
    </xf>
    <xf numFmtId="168" fontId="4" fillId="8" borderId="2" xfId="0" applyNumberFormat="1" applyFont="1" applyFill="1" applyBorder="1" applyAlignment="1">
      <alignment/>
    </xf>
    <xf numFmtId="0" fontId="9" fillId="5" borderId="2" xfId="19" applyFont="1" applyFill="1" applyBorder="1" applyAlignment="1">
      <alignment wrapText="1"/>
      <protection/>
    </xf>
    <xf numFmtId="17" fontId="3" fillId="10" borderId="2" xfId="20" applyNumberFormat="1" applyFont="1" applyFill="1" applyBorder="1" applyAlignment="1">
      <alignment horizontal="center"/>
      <protection/>
    </xf>
    <xf numFmtId="3" fontId="4" fillId="6" borderId="5" xfId="0" applyNumberFormat="1" applyFont="1" applyFill="1" applyBorder="1" applyAlignment="1">
      <alignment/>
    </xf>
    <xf numFmtId="0" fontId="3" fillId="5" borderId="2" xfId="19" applyFont="1" applyFill="1" applyBorder="1" applyAlignment="1">
      <alignment wrapText="1"/>
      <protection/>
    </xf>
    <xf numFmtId="3" fontId="0" fillId="0" borderId="0" xfId="0" applyNumberFormat="1" applyAlignment="1">
      <alignment/>
    </xf>
    <xf numFmtId="0" fontId="3" fillId="3" borderId="8" xfId="19" applyFont="1" applyFill="1" applyBorder="1" applyAlignment="1">
      <alignment wrapText="1"/>
      <protection/>
    </xf>
    <xf numFmtId="170" fontId="4" fillId="3" borderId="8" xfId="0" applyNumberFormat="1" applyFont="1" applyFill="1" applyBorder="1" applyAlignment="1">
      <alignment/>
    </xf>
    <xf numFmtId="168" fontId="4" fillId="3" borderId="8" xfId="0" applyNumberFormat="1" applyFont="1" applyFill="1" applyBorder="1" applyAlignment="1">
      <alignment/>
    </xf>
    <xf numFmtId="0" fontId="3" fillId="3" borderId="1" xfId="19" applyFont="1" applyFill="1" applyBorder="1" applyAlignment="1">
      <alignment wrapText="1"/>
      <protection/>
    </xf>
    <xf numFmtId="168" fontId="4" fillId="3" borderId="1" xfId="0" applyNumberFormat="1" applyFont="1" applyFill="1" applyBorder="1" applyAlignment="1">
      <alignment/>
    </xf>
    <xf numFmtId="0" fontId="3" fillId="6" borderId="8" xfId="19" applyFont="1" applyFill="1" applyBorder="1" applyAlignment="1">
      <alignment wrapText="1"/>
      <protection/>
    </xf>
    <xf numFmtId="168" fontId="4" fillId="6" borderId="8" xfId="0" applyNumberFormat="1" applyFont="1" applyFill="1" applyBorder="1" applyAlignment="1">
      <alignment/>
    </xf>
    <xf numFmtId="3" fontId="4" fillId="6" borderId="8" xfId="0" applyNumberFormat="1" applyFont="1" applyFill="1" applyBorder="1" applyAlignment="1">
      <alignment/>
    </xf>
    <xf numFmtId="0" fontId="3" fillId="6" borderId="1" xfId="19" applyFont="1" applyFill="1" applyBorder="1" applyAlignment="1">
      <alignment wrapText="1"/>
      <protection/>
    </xf>
    <xf numFmtId="3" fontId="4" fillId="6" borderId="1" xfId="0" applyNumberFormat="1" applyFont="1" applyFill="1" applyBorder="1" applyAlignment="1">
      <alignment/>
    </xf>
    <xf numFmtId="168" fontId="4" fillId="6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3" fillId="11" borderId="2" xfId="24" applyNumberFormat="1" applyFont="1" applyFill="1" applyBorder="1" applyAlignment="1">
      <alignment horizontal="center" wrapText="1"/>
      <protection/>
    </xf>
    <xf numFmtId="0" fontId="1" fillId="12" borderId="9" xfId="22" applyFont="1" applyFill="1" applyBorder="1" applyAlignment="1">
      <alignment horizontal="center" wrapText="1"/>
      <protection/>
    </xf>
    <xf numFmtId="0" fontId="1" fillId="13" borderId="10" xfId="24" applyFont="1" applyFill="1" applyBorder="1" applyAlignment="1">
      <alignment wrapText="1"/>
      <protection/>
    </xf>
    <xf numFmtId="0" fontId="1" fillId="13" borderId="11" xfId="24" applyFont="1" applyFill="1" applyBorder="1" applyAlignment="1">
      <alignment wrapText="1"/>
      <protection/>
    </xf>
    <xf numFmtId="0" fontId="1" fillId="11" borderId="9" xfId="24" applyFont="1" applyFill="1" applyBorder="1" applyAlignment="1">
      <alignment horizontal="center"/>
      <protection/>
    </xf>
    <xf numFmtId="168" fontId="1" fillId="7" borderId="11" xfId="24" applyNumberFormat="1" applyFont="1" applyFill="1" applyBorder="1" applyAlignment="1">
      <alignment horizontal="right" wrapText="1"/>
      <protection/>
    </xf>
    <xf numFmtId="0" fontId="1" fillId="14" borderId="12" xfId="22" applyFont="1" applyFill="1" applyBorder="1" applyAlignment="1">
      <alignment horizontal="center"/>
      <protection/>
    </xf>
    <xf numFmtId="0" fontId="1" fillId="0" borderId="10" xfId="22" applyFont="1" applyFill="1" applyBorder="1" applyAlignment="1">
      <alignment wrapText="1"/>
      <protection/>
    </xf>
    <xf numFmtId="0" fontId="1" fillId="14" borderId="12" xfId="23" applyFont="1" applyFill="1" applyBorder="1" applyAlignment="1">
      <alignment horizontal="center"/>
      <protection/>
    </xf>
    <xf numFmtId="0" fontId="1" fillId="0" borderId="10" xfId="23" applyFont="1" applyFill="1" applyBorder="1" applyAlignment="1">
      <alignment wrapText="1"/>
      <protection/>
    </xf>
    <xf numFmtId="0" fontId="1" fillId="14" borderId="12" xfId="24" applyFont="1" applyFill="1" applyBorder="1" applyAlignment="1">
      <alignment horizontal="center"/>
      <protection/>
    </xf>
    <xf numFmtId="0" fontId="1" fillId="0" borderId="10" xfId="24" applyFont="1" applyFill="1" applyBorder="1" applyAlignment="1">
      <alignment wrapText="1"/>
      <protection/>
    </xf>
    <xf numFmtId="0" fontId="1" fillId="0" borderId="0" xfId="24" applyFont="1" applyFill="1" applyBorder="1" applyAlignment="1">
      <alignment wrapText="1"/>
      <protection/>
    </xf>
    <xf numFmtId="3" fontId="1" fillId="0" borderId="0" xfId="24" applyNumberFormat="1" applyFont="1" applyFill="1" applyBorder="1" applyAlignment="1">
      <alignment horizontal="right" wrapText="1"/>
      <protection/>
    </xf>
    <xf numFmtId="17" fontId="1" fillId="11" borderId="9" xfId="24" applyNumberFormat="1" applyFont="1" applyFill="1" applyBorder="1" applyAlignment="1">
      <alignment horizontal="center"/>
      <protection/>
    </xf>
    <xf numFmtId="0" fontId="1" fillId="2" borderId="13" xfId="19" applyFont="1" applyFill="1" applyBorder="1" applyAlignment="1">
      <alignment wrapText="1"/>
      <protection/>
    </xf>
    <xf numFmtId="170" fontId="0" fillId="3" borderId="8" xfId="0" applyNumberFormat="1" applyFill="1" applyBorder="1" applyAlignment="1">
      <alignment/>
    </xf>
    <xf numFmtId="0" fontId="1" fillId="2" borderId="8" xfId="19" applyFont="1" applyFill="1" applyBorder="1" applyAlignment="1">
      <alignment wrapText="1"/>
      <protection/>
    </xf>
    <xf numFmtId="168" fontId="0" fillId="3" borderId="8" xfId="0" applyNumberFormat="1" applyFill="1" applyBorder="1" applyAlignment="1">
      <alignment/>
    </xf>
    <xf numFmtId="0" fontId="1" fillId="5" borderId="13" xfId="19" applyFont="1" applyFill="1" applyBorder="1" applyAlignment="1">
      <alignment wrapText="1"/>
      <protection/>
    </xf>
    <xf numFmtId="168" fontId="0" fillId="6" borderId="13" xfId="0" applyNumberFormat="1" applyFill="1" applyBorder="1" applyAlignment="1">
      <alignment/>
    </xf>
    <xf numFmtId="0" fontId="1" fillId="0" borderId="11" xfId="22" applyFont="1" applyFill="1" applyBorder="1" applyAlignment="1">
      <alignment wrapText="1"/>
      <protection/>
    </xf>
    <xf numFmtId="170" fontId="1" fillId="0" borderId="11" xfId="22" applyNumberFormat="1" applyFont="1" applyFill="1" applyBorder="1" applyAlignment="1">
      <alignment horizontal="right" wrapText="1"/>
      <protection/>
    </xf>
    <xf numFmtId="0" fontId="1" fillId="11" borderId="2" xfId="22" applyFont="1" applyFill="1" applyBorder="1" applyAlignment="1">
      <alignment horizontal="center" wrapText="1"/>
      <protection/>
    </xf>
    <xf numFmtId="0" fontId="1" fillId="11" borderId="2" xfId="22" applyFont="1" applyFill="1" applyBorder="1" applyAlignment="1">
      <alignment horizontal="center"/>
      <protection/>
    </xf>
    <xf numFmtId="0" fontId="1" fillId="0" borderId="10" xfId="22" applyFont="1" applyFill="1" applyBorder="1" applyAlignment="1">
      <alignment horizontal="right" wrapText="1"/>
      <protection/>
    </xf>
    <xf numFmtId="169" fontId="1" fillId="0" borderId="10" xfId="22" applyNumberFormat="1" applyFont="1" applyFill="1" applyBorder="1" applyAlignment="1">
      <alignment horizontal="right" wrapText="1"/>
      <protection/>
    </xf>
    <xf numFmtId="170" fontId="1" fillId="0" borderId="0" xfId="22" applyNumberFormat="1" applyFont="1" applyFill="1" applyBorder="1" applyAlignment="1">
      <alignment horizontal="right" wrapText="1"/>
      <protection/>
    </xf>
    <xf numFmtId="0" fontId="1" fillId="15" borderId="3" xfId="20" applyFont="1" applyFill="1" applyBorder="1" applyAlignment="1">
      <alignment wrapText="1"/>
      <protection/>
    </xf>
    <xf numFmtId="3" fontId="0" fillId="16" borderId="1" xfId="0" applyNumberFormat="1" applyFill="1" applyBorder="1" applyAlignment="1">
      <alignment/>
    </xf>
    <xf numFmtId="0" fontId="1" fillId="15" borderId="1" xfId="20" applyFont="1" applyFill="1" applyBorder="1" applyAlignment="1">
      <alignment wrapText="1"/>
      <protection/>
    </xf>
    <xf numFmtId="170" fontId="0" fillId="16" borderId="1" xfId="0" applyNumberFormat="1" applyFill="1" applyBorder="1" applyAlignment="1">
      <alignment/>
    </xf>
    <xf numFmtId="0" fontId="1" fillId="0" borderId="10" xfId="23" applyFont="1" applyFill="1" applyBorder="1" applyAlignment="1">
      <alignment horizontal="right" wrapText="1"/>
      <protection/>
    </xf>
    <xf numFmtId="3" fontId="1" fillId="0" borderId="11" xfId="22" applyNumberFormat="1" applyFont="1" applyFill="1" applyBorder="1" applyAlignment="1">
      <alignment horizontal="right" wrapText="1"/>
      <protection/>
    </xf>
    <xf numFmtId="17" fontId="1" fillId="11" borderId="2" xfId="22" applyNumberFormat="1" applyFont="1" applyFill="1" applyBorder="1" applyAlignment="1">
      <alignment horizontal="center"/>
      <protection/>
    </xf>
    <xf numFmtId="0" fontId="1" fillId="0" borderId="10" xfId="24" applyFont="1" applyFill="1" applyBorder="1" applyAlignment="1">
      <alignment horizontal="right" wrapText="1"/>
      <protection/>
    </xf>
    <xf numFmtId="0" fontId="1" fillId="14" borderId="12" xfId="21" applyFont="1" applyFill="1" applyBorder="1" applyAlignment="1">
      <alignment horizontal="center"/>
      <protection/>
    </xf>
    <xf numFmtId="0" fontId="1" fillId="0" borderId="10" xfId="21" applyFont="1" applyFill="1" applyBorder="1" applyAlignment="1">
      <alignment horizontal="right" wrapText="1"/>
      <protection/>
    </xf>
    <xf numFmtId="0" fontId="1" fillId="0" borderId="10" xfId="21" applyFont="1" applyFill="1" applyBorder="1" applyAlignment="1">
      <alignment wrapText="1"/>
      <protection/>
    </xf>
    <xf numFmtId="169" fontId="1" fillId="0" borderId="10" xfId="21" applyNumberFormat="1" applyFont="1" applyFill="1" applyBorder="1" applyAlignment="1">
      <alignment horizontal="right" wrapText="1"/>
      <protection/>
    </xf>
    <xf numFmtId="0" fontId="9" fillId="2" borderId="2" xfId="19" applyFont="1" applyFill="1" applyBorder="1" applyAlignment="1">
      <alignment horizontal="center" wrapText="1"/>
      <protection/>
    </xf>
    <xf numFmtId="171" fontId="0" fillId="16" borderId="1" xfId="0" applyNumberFormat="1" applyFill="1" applyBorder="1" applyAlignment="1">
      <alignment/>
    </xf>
    <xf numFmtId="171" fontId="0" fillId="8" borderId="3" xfId="0" applyNumberFormat="1" applyFill="1" applyBorder="1" applyAlignment="1">
      <alignment/>
    </xf>
    <xf numFmtId="171" fontId="0" fillId="8" borderId="1" xfId="0" applyNumberFormat="1" applyFill="1" applyBorder="1" applyAlignment="1">
      <alignment/>
    </xf>
    <xf numFmtId="171" fontId="0" fillId="8" borderId="2" xfId="0" applyNumberFormat="1" applyFill="1" applyBorder="1" applyAlignment="1">
      <alignment/>
    </xf>
    <xf numFmtId="171" fontId="4" fillId="8" borderId="3" xfId="0" applyNumberFormat="1" applyFont="1" applyFill="1" applyBorder="1" applyAlignment="1">
      <alignment/>
    </xf>
    <xf numFmtId="171" fontId="4" fillId="8" borderId="2" xfId="0" applyNumberFormat="1" applyFont="1" applyFill="1" applyBorder="1" applyAlignment="1">
      <alignment/>
    </xf>
    <xf numFmtId="10" fontId="4" fillId="6" borderId="4" xfId="0" applyNumberFormat="1" applyFont="1" applyFill="1" applyBorder="1" applyAlignment="1">
      <alignment/>
    </xf>
    <xf numFmtId="10" fontId="4" fillId="6" borderId="1" xfId="0" applyNumberFormat="1" applyFont="1" applyFill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Normal_Feuil2" xfId="20"/>
    <cellStyle name="Normal_Req0" xfId="21"/>
    <cellStyle name="Normal_Req1" xfId="22"/>
    <cellStyle name="Normal_Req2" xfId="23"/>
    <cellStyle name="Normal_Req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worksheet" Target="worksheets/sheet4.xml" /><Relationship Id="rId16" Type="http://schemas.openxmlformats.org/officeDocument/2006/relationships/worksheet" Target="worksheets/sheet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Montant cumulé annuel - Total panier 11 hypolipémiants 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- 549 médecins non visités au 16/01/2007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Req1!$B$108</c:f>
              <c:strCache>
                <c:ptCount val="1"/>
                <c:pt idx="0">
                  <c:v>Total panier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Req1!$C$108:$X$108</c:f>
              <c:numCache>
                <c:ptCount val="22"/>
                <c:pt idx="0">
                  <c:v>1094346.4125</c:v>
                </c:pt>
                <c:pt idx="1">
                  <c:v>1116506.44</c:v>
                </c:pt>
                <c:pt idx="2">
                  <c:v>1120350.0324999997</c:v>
                </c:pt>
                <c:pt idx="3">
                  <c:v>1122813.749</c:v>
                </c:pt>
                <c:pt idx="4">
                  <c:v>1130909.9440000001</c:v>
                </c:pt>
                <c:pt idx="5">
                  <c:v>1137695.1824999999</c:v>
                </c:pt>
                <c:pt idx="6">
                  <c:v>1142366.034</c:v>
                </c:pt>
                <c:pt idx="7">
                  <c:v>1146401.635</c:v>
                </c:pt>
                <c:pt idx="8">
                  <c:v>1150042.029</c:v>
                </c:pt>
                <c:pt idx="9">
                  <c:v>1155839.1265</c:v>
                </c:pt>
                <c:pt idx="10">
                  <c:v>1164622.9845000003</c:v>
                </c:pt>
                <c:pt idx="11">
                  <c:v>1167311.048</c:v>
                </c:pt>
                <c:pt idx="12">
                  <c:v>1160389.1215</c:v>
                </c:pt>
                <c:pt idx="13">
                  <c:v>1167658.685</c:v>
                </c:pt>
                <c:pt idx="14">
                  <c:v>1168398.5380000002</c:v>
                </c:pt>
                <c:pt idx="15">
                  <c:v>1170482.2075999998</c:v>
                </c:pt>
                <c:pt idx="16">
                  <c:v>1168977.2495000002</c:v>
                </c:pt>
                <c:pt idx="17">
                  <c:v>1163852.6386</c:v>
                </c:pt>
                <c:pt idx="18">
                  <c:v>1172425.7473</c:v>
                </c:pt>
                <c:pt idx="19">
                  <c:v>1166087.0359999998</c:v>
                </c:pt>
                <c:pt idx="20">
                  <c:v>1154930.5938000001</c:v>
                </c:pt>
                <c:pt idx="21">
                  <c:v>1159227.875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Req1!$B$109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Req1!$C$109:$X$109</c:f>
              <c:numCache>
                <c:ptCount val="22"/>
                <c:pt idx="0">
                  <c:v>559752.7825</c:v>
                </c:pt>
                <c:pt idx="1">
                  <c:v>567876.3935</c:v>
                </c:pt>
                <c:pt idx="2">
                  <c:v>565612.413</c:v>
                </c:pt>
                <c:pt idx="3">
                  <c:v>562150.098</c:v>
                </c:pt>
                <c:pt idx="4">
                  <c:v>562043.524</c:v>
                </c:pt>
                <c:pt idx="5">
                  <c:v>560151.4695</c:v>
                </c:pt>
                <c:pt idx="6">
                  <c:v>556710.2579999999</c:v>
                </c:pt>
                <c:pt idx="7">
                  <c:v>553338.119</c:v>
                </c:pt>
                <c:pt idx="8">
                  <c:v>550192.1845</c:v>
                </c:pt>
                <c:pt idx="9">
                  <c:v>547080.8585</c:v>
                </c:pt>
                <c:pt idx="10">
                  <c:v>546393.8775</c:v>
                </c:pt>
                <c:pt idx="11">
                  <c:v>539998.9805000001</c:v>
                </c:pt>
                <c:pt idx="12">
                  <c:v>531622.394</c:v>
                </c:pt>
                <c:pt idx="13">
                  <c:v>528939.7424999999</c:v>
                </c:pt>
                <c:pt idx="14">
                  <c:v>524264.55950000003</c:v>
                </c:pt>
                <c:pt idx="15">
                  <c:v>520445.0235</c:v>
                </c:pt>
                <c:pt idx="16">
                  <c:v>512856.50850000005</c:v>
                </c:pt>
                <c:pt idx="17">
                  <c:v>504307.849</c:v>
                </c:pt>
                <c:pt idx="18">
                  <c:v>500506.6352</c:v>
                </c:pt>
                <c:pt idx="19">
                  <c:v>490456.30990000005</c:v>
                </c:pt>
                <c:pt idx="20">
                  <c:v>478799.1273</c:v>
                </c:pt>
                <c:pt idx="21">
                  <c:v>475092.1432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Req1!$B$110</c:f>
              <c:strCache>
                <c:ptCount val="1"/>
                <c:pt idx="0">
                  <c:v>Statines "stricto sensu"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Req1!$C$110:$X$110</c:f>
              <c:numCache>
                <c:ptCount val="22"/>
                <c:pt idx="0">
                  <c:v>978626.0975</c:v>
                </c:pt>
                <c:pt idx="1">
                  <c:v>996888.0519999999</c:v>
                </c:pt>
                <c:pt idx="2">
                  <c:v>998311.6709999999</c:v>
                </c:pt>
                <c:pt idx="3">
                  <c:v>997908.728</c:v>
                </c:pt>
                <c:pt idx="4">
                  <c:v>1002244.6965000001</c:v>
                </c:pt>
                <c:pt idx="5">
                  <c:v>1004103.1044999999</c:v>
                </c:pt>
                <c:pt idx="6">
                  <c:v>1004213.9674999999</c:v>
                </c:pt>
                <c:pt idx="7">
                  <c:v>1004307.718</c:v>
                </c:pt>
                <c:pt idx="8">
                  <c:v>1002839.1945</c:v>
                </c:pt>
                <c:pt idx="9">
                  <c:v>1003307.3065000001</c:v>
                </c:pt>
                <c:pt idx="10">
                  <c:v>1005647.7640000001</c:v>
                </c:pt>
                <c:pt idx="11">
                  <c:v>1002203.1110000001</c:v>
                </c:pt>
                <c:pt idx="12">
                  <c:v>991781.779</c:v>
                </c:pt>
                <c:pt idx="13">
                  <c:v>992835.6154999998</c:v>
                </c:pt>
                <c:pt idx="14">
                  <c:v>988187.8505000001</c:v>
                </c:pt>
                <c:pt idx="15">
                  <c:v>984968.6521</c:v>
                </c:pt>
                <c:pt idx="16">
                  <c:v>978232.3905</c:v>
                </c:pt>
                <c:pt idx="17">
                  <c:v>969393.7980999998</c:v>
                </c:pt>
                <c:pt idx="18">
                  <c:v>970724.8118</c:v>
                </c:pt>
                <c:pt idx="19">
                  <c:v>959612.7054999999</c:v>
                </c:pt>
                <c:pt idx="20">
                  <c:v>946203.9778</c:v>
                </c:pt>
                <c:pt idx="21">
                  <c:v>944287.0658</c:v>
                </c:pt>
              </c:numCache>
            </c:numRef>
          </c:val>
          <c:smooth val="0"/>
        </c:ser>
        <c:marker val="1"/>
        <c:axId val="12628751"/>
        <c:axId val="46549896"/>
      </c:lineChart>
      <c:dateAx>
        <c:axId val="12628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549896"/>
        <c:crosses val="autoZero"/>
        <c:auto val="0"/>
        <c:noMultiLvlLbl val="0"/>
      </c:dateAx>
      <c:valAx>
        <c:axId val="465498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Montant annuel total remboursé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26287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Nombre de boites mensuelles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- 549 médecins non visités au 16/01/2007</a:t>
            </a:r>
          </a:p>
        </c:rich>
      </c:tx>
      <c:layout>
        <c:manualLayout>
          <c:xMode val="factor"/>
          <c:yMode val="factor"/>
          <c:x val="-0.066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025"/>
          <c:w val="0.7672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Req3!$B$66</c:f>
              <c:strCache>
                <c:ptCount val="1"/>
                <c:pt idx="0">
                  <c:v>Simvastatine 10mg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Req3!$C$66:$AI$66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1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7</c:v>
                </c:pt>
                <c:pt idx="26">
                  <c:v>7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10</c:v>
                </c:pt>
                <c:pt idx="31">
                  <c:v>6</c:v>
                </c:pt>
                <c:pt idx="32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Req3!$B$67</c:f>
              <c:strCache>
                <c:ptCount val="1"/>
                <c:pt idx="0">
                  <c:v>Simvastatine 20mg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Req3!$C$67:$AI$67</c:f>
              <c:numCache>
                <c:ptCount val="33"/>
                <c:pt idx="0">
                  <c:v>554</c:v>
                </c:pt>
                <c:pt idx="1">
                  <c:v>688</c:v>
                </c:pt>
                <c:pt idx="2">
                  <c:v>611</c:v>
                </c:pt>
                <c:pt idx="3">
                  <c:v>641</c:v>
                </c:pt>
                <c:pt idx="4">
                  <c:v>593</c:v>
                </c:pt>
                <c:pt idx="5">
                  <c:v>587</c:v>
                </c:pt>
                <c:pt idx="6">
                  <c:v>612</c:v>
                </c:pt>
                <c:pt idx="7">
                  <c:v>619</c:v>
                </c:pt>
                <c:pt idx="8">
                  <c:v>576</c:v>
                </c:pt>
                <c:pt idx="9">
                  <c:v>540</c:v>
                </c:pt>
                <c:pt idx="10">
                  <c:v>618</c:v>
                </c:pt>
                <c:pt idx="11">
                  <c:v>600</c:v>
                </c:pt>
                <c:pt idx="12">
                  <c:v>616</c:v>
                </c:pt>
                <c:pt idx="13">
                  <c:v>611</c:v>
                </c:pt>
                <c:pt idx="14">
                  <c:v>616</c:v>
                </c:pt>
                <c:pt idx="15">
                  <c:v>687</c:v>
                </c:pt>
                <c:pt idx="16">
                  <c:v>645</c:v>
                </c:pt>
                <c:pt idx="17">
                  <c:v>614</c:v>
                </c:pt>
                <c:pt idx="18">
                  <c:v>692</c:v>
                </c:pt>
                <c:pt idx="19">
                  <c:v>704</c:v>
                </c:pt>
                <c:pt idx="20">
                  <c:v>679</c:v>
                </c:pt>
                <c:pt idx="21">
                  <c:v>649</c:v>
                </c:pt>
                <c:pt idx="22">
                  <c:v>719</c:v>
                </c:pt>
                <c:pt idx="23">
                  <c:v>629</c:v>
                </c:pt>
                <c:pt idx="24">
                  <c:v>723</c:v>
                </c:pt>
                <c:pt idx="25">
                  <c:v>705</c:v>
                </c:pt>
                <c:pt idx="26">
                  <c:v>691</c:v>
                </c:pt>
                <c:pt idx="27">
                  <c:v>696</c:v>
                </c:pt>
                <c:pt idx="28">
                  <c:v>655</c:v>
                </c:pt>
                <c:pt idx="29">
                  <c:v>694</c:v>
                </c:pt>
                <c:pt idx="30">
                  <c:v>661</c:v>
                </c:pt>
                <c:pt idx="31">
                  <c:v>659</c:v>
                </c:pt>
                <c:pt idx="32">
                  <c:v>734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Req3!$B$68</c:f>
              <c:strCache>
                <c:ptCount val="1"/>
                <c:pt idx="0">
                  <c:v>Simvastatine 40mg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Req3!$C$68:$AI$68</c:f>
              <c:numCache>
                <c:ptCount val="33"/>
                <c:pt idx="0">
                  <c:v>51</c:v>
                </c:pt>
                <c:pt idx="1">
                  <c:v>72</c:v>
                </c:pt>
                <c:pt idx="2">
                  <c:v>78</c:v>
                </c:pt>
                <c:pt idx="3">
                  <c:v>71</c:v>
                </c:pt>
                <c:pt idx="4">
                  <c:v>85</c:v>
                </c:pt>
                <c:pt idx="5">
                  <c:v>75</c:v>
                </c:pt>
                <c:pt idx="6">
                  <c:v>85</c:v>
                </c:pt>
                <c:pt idx="7">
                  <c:v>88</c:v>
                </c:pt>
                <c:pt idx="8">
                  <c:v>86</c:v>
                </c:pt>
                <c:pt idx="9">
                  <c:v>81</c:v>
                </c:pt>
                <c:pt idx="10">
                  <c:v>101</c:v>
                </c:pt>
                <c:pt idx="11">
                  <c:v>91</c:v>
                </c:pt>
                <c:pt idx="12">
                  <c:v>100</c:v>
                </c:pt>
                <c:pt idx="13">
                  <c:v>95</c:v>
                </c:pt>
                <c:pt idx="14">
                  <c:v>96</c:v>
                </c:pt>
                <c:pt idx="15">
                  <c:v>95</c:v>
                </c:pt>
                <c:pt idx="16">
                  <c:v>99</c:v>
                </c:pt>
                <c:pt idx="17">
                  <c:v>106</c:v>
                </c:pt>
                <c:pt idx="18">
                  <c:v>110</c:v>
                </c:pt>
                <c:pt idx="19">
                  <c:v>112</c:v>
                </c:pt>
                <c:pt idx="20">
                  <c:v>107</c:v>
                </c:pt>
                <c:pt idx="21">
                  <c:v>96</c:v>
                </c:pt>
                <c:pt idx="22">
                  <c:v>100</c:v>
                </c:pt>
                <c:pt idx="23">
                  <c:v>102</c:v>
                </c:pt>
                <c:pt idx="24">
                  <c:v>110</c:v>
                </c:pt>
                <c:pt idx="25">
                  <c:v>101</c:v>
                </c:pt>
                <c:pt idx="26">
                  <c:v>102</c:v>
                </c:pt>
                <c:pt idx="27">
                  <c:v>104</c:v>
                </c:pt>
                <c:pt idx="28">
                  <c:v>111</c:v>
                </c:pt>
                <c:pt idx="29">
                  <c:v>118</c:v>
                </c:pt>
                <c:pt idx="30">
                  <c:v>107</c:v>
                </c:pt>
                <c:pt idx="31">
                  <c:v>108</c:v>
                </c:pt>
                <c:pt idx="32">
                  <c:v>121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Req3!$B$69</c:f>
              <c:strCache>
                <c:ptCount val="1"/>
                <c:pt idx="0">
                  <c:v>Pravastatine 10mg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Req3!$C$69:$AI$69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Req3!$B$70</c:f>
              <c:strCache>
                <c:ptCount val="1"/>
                <c:pt idx="0">
                  <c:v>Pravastatine 20mg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Req3!$C$70:$AI$70</c:f>
              <c:numCache>
                <c:ptCount val="33"/>
                <c:pt idx="0">
                  <c:v>958</c:v>
                </c:pt>
                <c:pt idx="1">
                  <c:v>1129</c:v>
                </c:pt>
                <c:pt idx="2">
                  <c:v>1051</c:v>
                </c:pt>
                <c:pt idx="3">
                  <c:v>1092</c:v>
                </c:pt>
                <c:pt idx="4">
                  <c:v>1043</c:v>
                </c:pt>
                <c:pt idx="5">
                  <c:v>1037</c:v>
                </c:pt>
                <c:pt idx="6">
                  <c:v>1078</c:v>
                </c:pt>
                <c:pt idx="7">
                  <c:v>1111</c:v>
                </c:pt>
                <c:pt idx="8">
                  <c:v>1095</c:v>
                </c:pt>
                <c:pt idx="9">
                  <c:v>939</c:v>
                </c:pt>
                <c:pt idx="10">
                  <c:v>1173</c:v>
                </c:pt>
                <c:pt idx="11">
                  <c:v>1035</c:v>
                </c:pt>
                <c:pt idx="12">
                  <c:v>1086</c:v>
                </c:pt>
                <c:pt idx="13">
                  <c:v>1065</c:v>
                </c:pt>
                <c:pt idx="14">
                  <c:v>984</c:v>
                </c:pt>
                <c:pt idx="15">
                  <c:v>1010</c:v>
                </c:pt>
                <c:pt idx="16">
                  <c:v>987</c:v>
                </c:pt>
                <c:pt idx="17">
                  <c:v>942</c:v>
                </c:pt>
                <c:pt idx="18">
                  <c:v>977</c:v>
                </c:pt>
                <c:pt idx="19">
                  <c:v>1008</c:v>
                </c:pt>
                <c:pt idx="20">
                  <c:v>955</c:v>
                </c:pt>
                <c:pt idx="21">
                  <c:v>911</c:v>
                </c:pt>
                <c:pt idx="22">
                  <c:v>989</c:v>
                </c:pt>
                <c:pt idx="23">
                  <c:v>859</c:v>
                </c:pt>
                <c:pt idx="24">
                  <c:v>984</c:v>
                </c:pt>
                <c:pt idx="25">
                  <c:v>903</c:v>
                </c:pt>
                <c:pt idx="26">
                  <c:v>825</c:v>
                </c:pt>
                <c:pt idx="27">
                  <c:v>915</c:v>
                </c:pt>
                <c:pt idx="28">
                  <c:v>840</c:v>
                </c:pt>
                <c:pt idx="29">
                  <c:v>944</c:v>
                </c:pt>
                <c:pt idx="30">
                  <c:v>876</c:v>
                </c:pt>
                <c:pt idx="31">
                  <c:v>825</c:v>
                </c:pt>
                <c:pt idx="32">
                  <c:v>990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Req3!$B$71</c:f>
              <c:strCache>
                <c:ptCount val="1"/>
                <c:pt idx="0">
                  <c:v>Pravastatine 40mg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Req3!$C$71:$AI$71</c:f>
              <c:numCache>
                <c:ptCount val="33"/>
                <c:pt idx="0">
                  <c:v>313</c:v>
                </c:pt>
                <c:pt idx="1">
                  <c:v>389</c:v>
                </c:pt>
                <c:pt idx="2">
                  <c:v>403</c:v>
                </c:pt>
                <c:pt idx="3">
                  <c:v>365</c:v>
                </c:pt>
                <c:pt idx="4">
                  <c:v>369</c:v>
                </c:pt>
                <c:pt idx="5">
                  <c:v>382</c:v>
                </c:pt>
                <c:pt idx="6">
                  <c:v>431</c:v>
                </c:pt>
                <c:pt idx="7">
                  <c:v>419</c:v>
                </c:pt>
                <c:pt idx="8">
                  <c:v>382</c:v>
                </c:pt>
                <c:pt idx="9">
                  <c:v>338</c:v>
                </c:pt>
                <c:pt idx="10">
                  <c:v>432</c:v>
                </c:pt>
                <c:pt idx="11">
                  <c:v>405</c:v>
                </c:pt>
                <c:pt idx="12">
                  <c:v>426</c:v>
                </c:pt>
                <c:pt idx="13">
                  <c:v>433</c:v>
                </c:pt>
                <c:pt idx="14">
                  <c:v>396</c:v>
                </c:pt>
                <c:pt idx="15">
                  <c:v>440</c:v>
                </c:pt>
                <c:pt idx="16">
                  <c:v>388</c:v>
                </c:pt>
                <c:pt idx="17">
                  <c:v>376</c:v>
                </c:pt>
                <c:pt idx="18">
                  <c:v>404</c:v>
                </c:pt>
                <c:pt idx="19">
                  <c:v>410</c:v>
                </c:pt>
                <c:pt idx="20">
                  <c:v>386</c:v>
                </c:pt>
                <c:pt idx="21">
                  <c:v>363</c:v>
                </c:pt>
                <c:pt idx="22">
                  <c:v>399</c:v>
                </c:pt>
                <c:pt idx="23">
                  <c:v>325</c:v>
                </c:pt>
                <c:pt idx="24">
                  <c:v>419</c:v>
                </c:pt>
                <c:pt idx="25">
                  <c:v>376</c:v>
                </c:pt>
                <c:pt idx="26">
                  <c:v>378</c:v>
                </c:pt>
                <c:pt idx="27">
                  <c:v>377</c:v>
                </c:pt>
                <c:pt idx="28">
                  <c:v>363</c:v>
                </c:pt>
                <c:pt idx="29">
                  <c:v>382</c:v>
                </c:pt>
                <c:pt idx="30">
                  <c:v>360</c:v>
                </c:pt>
                <c:pt idx="31">
                  <c:v>346</c:v>
                </c:pt>
                <c:pt idx="32">
                  <c:v>416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Req3!$B$72</c:f>
              <c:strCache>
                <c:ptCount val="1"/>
                <c:pt idx="0">
                  <c:v>PRAVADUAL 40/81mg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Req3!$C$72:$AI$72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7</c:v>
                </c:pt>
                <c:pt idx="27">
                  <c:v>13</c:v>
                </c:pt>
                <c:pt idx="28">
                  <c:v>13</c:v>
                </c:pt>
                <c:pt idx="29">
                  <c:v>29</c:v>
                </c:pt>
                <c:pt idx="30">
                  <c:v>25</c:v>
                </c:pt>
                <c:pt idx="31">
                  <c:v>36</c:v>
                </c:pt>
                <c:pt idx="32">
                  <c:v>46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Req3!$B$73</c:f>
              <c:strCache>
                <c:ptCount val="1"/>
                <c:pt idx="0">
                  <c:v>Fluvastatine 20mg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Req3!$C$73:$AI$73</c:f>
              <c:numCache>
                <c:ptCount val="33"/>
                <c:pt idx="0">
                  <c:v>50</c:v>
                </c:pt>
                <c:pt idx="1">
                  <c:v>56</c:v>
                </c:pt>
                <c:pt idx="2">
                  <c:v>47</c:v>
                </c:pt>
                <c:pt idx="3">
                  <c:v>58</c:v>
                </c:pt>
                <c:pt idx="4">
                  <c:v>49</c:v>
                </c:pt>
                <c:pt idx="5">
                  <c:v>49</c:v>
                </c:pt>
                <c:pt idx="6">
                  <c:v>50</c:v>
                </c:pt>
                <c:pt idx="7">
                  <c:v>56</c:v>
                </c:pt>
                <c:pt idx="8">
                  <c:v>49</c:v>
                </c:pt>
                <c:pt idx="9">
                  <c:v>55</c:v>
                </c:pt>
                <c:pt idx="10">
                  <c:v>50</c:v>
                </c:pt>
                <c:pt idx="11">
                  <c:v>47</c:v>
                </c:pt>
                <c:pt idx="12">
                  <c:v>58</c:v>
                </c:pt>
                <c:pt idx="13">
                  <c:v>64</c:v>
                </c:pt>
                <c:pt idx="14">
                  <c:v>44</c:v>
                </c:pt>
                <c:pt idx="15">
                  <c:v>62</c:v>
                </c:pt>
                <c:pt idx="16">
                  <c:v>59</c:v>
                </c:pt>
                <c:pt idx="17">
                  <c:v>57</c:v>
                </c:pt>
                <c:pt idx="18">
                  <c:v>57</c:v>
                </c:pt>
                <c:pt idx="19">
                  <c:v>68</c:v>
                </c:pt>
                <c:pt idx="20">
                  <c:v>68</c:v>
                </c:pt>
                <c:pt idx="21">
                  <c:v>66</c:v>
                </c:pt>
                <c:pt idx="22">
                  <c:v>71</c:v>
                </c:pt>
                <c:pt idx="23">
                  <c:v>49</c:v>
                </c:pt>
                <c:pt idx="24">
                  <c:v>75</c:v>
                </c:pt>
                <c:pt idx="25">
                  <c:v>63</c:v>
                </c:pt>
                <c:pt idx="26">
                  <c:v>57</c:v>
                </c:pt>
                <c:pt idx="27">
                  <c:v>61</c:v>
                </c:pt>
                <c:pt idx="28">
                  <c:v>64</c:v>
                </c:pt>
                <c:pt idx="29">
                  <c:v>66</c:v>
                </c:pt>
                <c:pt idx="30">
                  <c:v>59</c:v>
                </c:pt>
                <c:pt idx="31">
                  <c:v>59</c:v>
                </c:pt>
                <c:pt idx="32">
                  <c:v>53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Req3!$B$74</c:f>
              <c:strCache>
                <c:ptCount val="1"/>
                <c:pt idx="0">
                  <c:v>Fluvastatine 40mg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Req3!$C$74:$AI$74</c:f>
              <c:numCache>
                <c:ptCount val="33"/>
                <c:pt idx="0">
                  <c:v>115</c:v>
                </c:pt>
                <c:pt idx="1">
                  <c:v>136</c:v>
                </c:pt>
                <c:pt idx="2">
                  <c:v>134</c:v>
                </c:pt>
                <c:pt idx="3">
                  <c:v>123</c:v>
                </c:pt>
                <c:pt idx="4">
                  <c:v>110</c:v>
                </c:pt>
                <c:pt idx="5">
                  <c:v>120</c:v>
                </c:pt>
                <c:pt idx="6">
                  <c:v>122</c:v>
                </c:pt>
                <c:pt idx="7">
                  <c:v>113</c:v>
                </c:pt>
                <c:pt idx="8">
                  <c:v>126</c:v>
                </c:pt>
                <c:pt idx="9">
                  <c:v>112</c:v>
                </c:pt>
                <c:pt idx="10">
                  <c:v>123</c:v>
                </c:pt>
                <c:pt idx="11">
                  <c:v>142</c:v>
                </c:pt>
                <c:pt idx="12">
                  <c:v>124</c:v>
                </c:pt>
                <c:pt idx="13">
                  <c:v>120</c:v>
                </c:pt>
                <c:pt idx="14">
                  <c:v>127</c:v>
                </c:pt>
                <c:pt idx="15">
                  <c:v>134</c:v>
                </c:pt>
                <c:pt idx="16">
                  <c:v>103</c:v>
                </c:pt>
                <c:pt idx="17">
                  <c:v>115</c:v>
                </c:pt>
                <c:pt idx="18">
                  <c:v>121</c:v>
                </c:pt>
                <c:pt idx="19">
                  <c:v>116</c:v>
                </c:pt>
                <c:pt idx="20">
                  <c:v>121</c:v>
                </c:pt>
                <c:pt idx="21">
                  <c:v>87</c:v>
                </c:pt>
                <c:pt idx="22">
                  <c:v>113</c:v>
                </c:pt>
                <c:pt idx="23">
                  <c:v>101</c:v>
                </c:pt>
                <c:pt idx="24">
                  <c:v>112</c:v>
                </c:pt>
                <c:pt idx="25">
                  <c:v>112</c:v>
                </c:pt>
                <c:pt idx="26">
                  <c:v>104</c:v>
                </c:pt>
                <c:pt idx="27">
                  <c:v>99</c:v>
                </c:pt>
                <c:pt idx="28">
                  <c:v>104</c:v>
                </c:pt>
                <c:pt idx="29">
                  <c:v>112</c:v>
                </c:pt>
                <c:pt idx="30">
                  <c:v>104</c:v>
                </c:pt>
                <c:pt idx="31">
                  <c:v>95</c:v>
                </c:pt>
                <c:pt idx="32">
                  <c:v>109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Req3!$B$75</c:f>
              <c:strCache>
                <c:ptCount val="1"/>
                <c:pt idx="0">
                  <c:v>Fluvastatine 80mg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Req3!$C$75:$AI$75</c:f>
              <c:numCache>
                <c:ptCount val="33"/>
                <c:pt idx="0">
                  <c:v>64</c:v>
                </c:pt>
                <c:pt idx="1">
                  <c:v>77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67</c:v>
                </c:pt>
                <c:pt idx="6">
                  <c:v>71</c:v>
                </c:pt>
                <c:pt idx="7">
                  <c:v>78</c:v>
                </c:pt>
                <c:pt idx="8">
                  <c:v>74</c:v>
                </c:pt>
                <c:pt idx="9">
                  <c:v>79</c:v>
                </c:pt>
                <c:pt idx="10">
                  <c:v>80</c:v>
                </c:pt>
                <c:pt idx="11">
                  <c:v>76</c:v>
                </c:pt>
                <c:pt idx="12">
                  <c:v>80</c:v>
                </c:pt>
                <c:pt idx="13">
                  <c:v>75</c:v>
                </c:pt>
                <c:pt idx="14">
                  <c:v>71</c:v>
                </c:pt>
                <c:pt idx="15">
                  <c:v>76</c:v>
                </c:pt>
                <c:pt idx="16">
                  <c:v>78</c:v>
                </c:pt>
                <c:pt idx="17">
                  <c:v>75</c:v>
                </c:pt>
                <c:pt idx="18">
                  <c:v>72</c:v>
                </c:pt>
                <c:pt idx="19">
                  <c:v>74</c:v>
                </c:pt>
                <c:pt idx="20">
                  <c:v>76</c:v>
                </c:pt>
                <c:pt idx="21">
                  <c:v>68</c:v>
                </c:pt>
                <c:pt idx="22">
                  <c:v>77</c:v>
                </c:pt>
                <c:pt idx="23">
                  <c:v>56</c:v>
                </c:pt>
                <c:pt idx="24">
                  <c:v>76</c:v>
                </c:pt>
                <c:pt idx="25">
                  <c:v>73</c:v>
                </c:pt>
                <c:pt idx="26">
                  <c:v>64</c:v>
                </c:pt>
                <c:pt idx="27">
                  <c:v>81</c:v>
                </c:pt>
                <c:pt idx="28">
                  <c:v>67</c:v>
                </c:pt>
                <c:pt idx="29">
                  <c:v>63</c:v>
                </c:pt>
                <c:pt idx="30">
                  <c:v>73</c:v>
                </c:pt>
                <c:pt idx="31">
                  <c:v>67</c:v>
                </c:pt>
                <c:pt idx="32">
                  <c:v>78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Req3!$B$76</c:f>
              <c:strCache>
                <c:ptCount val="1"/>
                <c:pt idx="0">
                  <c:v>TAHOR 10mg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Req3!$C$76:$AI$76</c:f>
              <c:numCache>
                <c:ptCount val="33"/>
                <c:pt idx="0">
                  <c:v>462</c:v>
                </c:pt>
                <c:pt idx="1">
                  <c:v>583</c:v>
                </c:pt>
                <c:pt idx="2">
                  <c:v>538</c:v>
                </c:pt>
                <c:pt idx="3">
                  <c:v>539</c:v>
                </c:pt>
                <c:pt idx="4">
                  <c:v>535</c:v>
                </c:pt>
                <c:pt idx="5">
                  <c:v>535</c:v>
                </c:pt>
                <c:pt idx="6">
                  <c:v>581</c:v>
                </c:pt>
                <c:pt idx="7">
                  <c:v>568</c:v>
                </c:pt>
                <c:pt idx="8">
                  <c:v>574</c:v>
                </c:pt>
                <c:pt idx="9">
                  <c:v>542</c:v>
                </c:pt>
                <c:pt idx="10">
                  <c:v>614</c:v>
                </c:pt>
                <c:pt idx="11">
                  <c:v>597</c:v>
                </c:pt>
                <c:pt idx="12">
                  <c:v>626</c:v>
                </c:pt>
                <c:pt idx="13">
                  <c:v>595</c:v>
                </c:pt>
                <c:pt idx="14">
                  <c:v>560</c:v>
                </c:pt>
                <c:pt idx="15">
                  <c:v>564</c:v>
                </c:pt>
                <c:pt idx="16">
                  <c:v>591</c:v>
                </c:pt>
                <c:pt idx="17">
                  <c:v>553</c:v>
                </c:pt>
                <c:pt idx="18">
                  <c:v>595</c:v>
                </c:pt>
                <c:pt idx="19">
                  <c:v>544</c:v>
                </c:pt>
                <c:pt idx="20">
                  <c:v>557</c:v>
                </c:pt>
                <c:pt idx="21">
                  <c:v>513</c:v>
                </c:pt>
                <c:pt idx="22">
                  <c:v>602</c:v>
                </c:pt>
                <c:pt idx="23">
                  <c:v>505</c:v>
                </c:pt>
                <c:pt idx="24">
                  <c:v>602</c:v>
                </c:pt>
                <c:pt idx="25">
                  <c:v>595</c:v>
                </c:pt>
                <c:pt idx="26">
                  <c:v>562</c:v>
                </c:pt>
                <c:pt idx="27">
                  <c:v>603</c:v>
                </c:pt>
                <c:pt idx="28">
                  <c:v>555</c:v>
                </c:pt>
                <c:pt idx="29">
                  <c:v>598</c:v>
                </c:pt>
                <c:pt idx="30">
                  <c:v>546</c:v>
                </c:pt>
                <c:pt idx="31">
                  <c:v>543</c:v>
                </c:pt>
                <c:pt idx="32">
                  <c:v>620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Req3!$B$77</c:f>
              <c:strCache>
                <c:ptCount val="1"/>
                <c:pt idx="0">
                  <c:v>TAHOR 20mg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Req3!$C$77:$AI$77</c:f>
              <c:numCache>
                <c:ptCount val="33"/>
                <c:pt idx="0">
                  <c:v>172</c:v>
                </c:pt>
                <c:pt idx="1">
                  <c:v>186</c:v>
                </c:pt>
                <c:pt idx="2">
                  <c:v>161</c:v>
                </c:pt>
                <c:pt idx="3">
                  <c:v>195</c:v>
                </c:pt>
                <c:pt idx="4">
                  <c:v>193</c:v>
                </c:pt>
                <c:pt idx="5">
                  <c:v>191</c:v>
                </c:pt>
                <c:pt idx="6">
                  <c:v>201</c:v>
                </c:pt>
                <c:pt idx="7">
                  <c:v>227</c:v>
                </c:pt>
                <c:pt idx="8">
                  <c:v>220</c:v>
                </c:pt>
                <c:pt idx="9">
                  <c:v>202</c:v>
                </c:pt>
                <c:pt idx="10">
                  <c:v>233</c:v>
                </c:pt>
                <c:pt idx="11">
                  <c:v>239</c:v>
                </c:pt>
                <c:pt idx="12">
                  <c:v>219</c:v>
                </c:pt>
                <c:pt idx="13">
                  <c:v>250</c:v>
                </c:pt>
                <c:pt idx="14">
                  <c:v>218</c:v>
                </c:pt>
                <c:pt idx="15">
                  <c:v>232</c:v>
                </c:pt>
                <c:pt idx="16">
                  <c:v>221</c:v>
                </c:pt>
                <c:pt idx="17">
                  <c:v>198</c:v>
                </c:pt>
                <c:pt idx="18">
                  <c:v>219</c:v>
                </c:pt>
                <c:pt idx="19">
                  <c:v>212</c:v>
                </c:pt>
                <c:pt idx="20">
                  <c:v>243</c:v>
                </c:pt>
                <c:pt idx="21">
                  <c:v>197</c:v>
                </c:pt>
                <c:pt idx="22">
                  <c:v>226</c:v>
                </c:pt>
                <c:pt idx="23">
                  <c:v>193</c:v>
                </c:pt>
                <c:pt idx="24">
                  <c:v>224</c:v>
                </c:pt>
                <c:pt idx="25">
                  <c:v>212</c:v>
                </c:pt>
                <c:pt idx="26">
                  <c:v>196</c:v>
                </c:pt>
                <c:pt idx="27">
                  <c:v>212</c:v>
                </c:pt>
                <c:pt idx="28">
                  <c:v>213</c:v>
                </c:pt>
                <c:pt idx="29">
                  <c:v>231</c:v>
                </c:pt>
                <c:pt idx="30">
                  <c:v>214</c:v>
                </c:pt>
                <c:pt idx="31">
                  <c:v>211</c:v>
                </c:pt>
                <c:pt idx="32">
                  <c:v>245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Req3!$B$78</c:f>
              <c:strCache>
                <c:ptCount val="1"/>
                <c:pt idx="0">
                  <c:v>TAHOR 40mg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Req3!$C$78:$AI$78</c:f>
              <c:numCache>
                <c:ptCount val="33"/>
                <c:pt idx="0">
                  <c:v>197</c:v>
                </c:pt>
                <c:pt idx="1">
                  <c:v>215</c:v>
                </c:pt>
                <c:pt idx="2">
                  <c:v>192</c:v>
                </c:pt>
                <c:pt idx="3">
                  <c:v>217</c:v>
                </c:pt>
                <c:pt idx="4">
                  <c:v>200</c:v>
                </c:pt>
                <c:pt idx="5">
                  <c:v>183</c:v>
                </c:pt>
                <c:pt idx="6">
                  <c:v>202</c:v>
                </c:pt>
                <c:pt idx="7">
                  <c:v>200</c:v>
                </c:pt>
                <c:pt idx="8">
                  <c:v>196</c:v>
                </c:pt>
                <c:pt idx="9">
                  <c:v>173</c:v>
                </c:pt>
                <c:pt idx="10">
                  <c:v>209</c:v>
                </c:pt>
                <c:pt idx="11">
                  <c:v>191</c:v>
                </c:pt>
                <c:pt idx="12">
                  <c:v>206</c:v>
                </c:pt>
                <c:pt idx="13">
                  <c:v>202</c:v>
                </c:pt>
                <c:pt idx="14">
                  <c:v>188</c:v>
                </c:pt>
                <c:pt idx="15">
                  <c:v>205</c:v>
                </c:pt>
                <c:pt idx="16">
                  <c:v>193</c:v>
                </c:pt>
                <c:pt idx="17">
                  <c:v>188</c:v>
                </c:pt>
                <c:pt idx="18">
                  <c:v>210</c:v>
                </c:pt>
                <c:pt idx="19">
                  <c:v>184</c:v>
                </c:pt>
                <c:pt idx="20">
                  <c:v>202</c:v>
                </c:pt>
                <c:pt idx="21">
                  <c:v>189</c:v>
                </c:pt>
                <c:pt idx="22">
                  <c:v>193</c:v>
                </c:pt>
                <c:pt idx="23">
                  <c:v>177</c:v>
                </c:pt>
                <c:pt idx="24">
                  <c:v>203</c:v>
                </c:pt>
                <c:pt idx="25">
                  <c:v>192</c:v>
                </c:pt>
                <c:pt idx="26">
                  <c:v>195</c:v>
                </c:pt>
                <c:pt idx="27">
                  <c:v>204</c:v>
                </c:pt>
                <c:pt idx="28">
                  <c:v>185</c:v>
                </c:pt>
                <c:pt idx="29">
                  <c:v>196</c:v>
                </c:pt>
                <c:pt idx="30">
                  <c:v>176</c:v>
                </c:pt>
                <c:pt idx="31">
                  <c:v>189</c:v>
                </c:pt>
                <c:pt idx="32">
                  <c:v>209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Req3!$B$79</c:f>
              <c:strCache>
                <c:ptCount val="1"/>
                <c:pt idx="0">
                  <c:v>TAHOR 80mg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Req3!$C$79:$AI$79</c:f>
              <c:numCache>
                <c:ptCount val="33"/>
                <c:pt idx="0">
                  <c:v>3</c:v>
                </c:pt>
                <c:pt idx="1">
                  <c:v>10</c:v>
                </c:pt>
                <c:pt idx="2">
                  <c:v>6</c:v>
                </c:pt>
                <c:pt idx="3">
                  <c:v>7</c:v>
                </c:pt>
                <c:pt idx="4">
                  <c:v>10</c:v>
                </c:pt>
                <c:pt idx="5">
                  <c:v>8</c:v>
                </c:pt>
                <c:pt idx="6">
                  <c:v>11</c:v>
                </c:pt>
                <c:pt idx="7">
                  <c:v>7</c:v>
                </c:pt>
                <c:pt idx="8">
                  <c:v>10</c:v>
                </c:pt>
                <c:pt idx="9">
                  <c:v>11</c:v>
                </c:pt>
                <c:pt idx="10">
                  <c:v>13</c:v>
                </c:pt>
                <c:pt idx="11">
                  <c:v>19</c:v>
                </c:pt>
                <c:pt idx="12">
                  <c:v>18</c:v>
                </c:pt>
                <c:pt idx="13">
                  <c:v>10</c:v>
                </c:pt>
                <c:pt idx="14">
                  <c:v>14</c:v>
                </c:pt>
                <c:pt idx="15">
                  <c:v>17</c:v>
                </c:pt>
                <c:pt idx="16">
                  <c:v>13</c:v>
                </c:pt>
                <c:pt idx="17">
                  <c:v>12</c:v>
                </c:pt>
                <c:pt idx="18">
                  <c:v>16</c:v>
                </c:pt>
                <c:pt idx="19">
                  <c:v>11</c:v>
                </c:pt>
                <c:pt idx="20">
                  <c:v>8</c:v>
                </c:pt>
                <c:pt idx="21">
                  <c:v>13</c:v>
                </c:pt>
                <c:pt idx="22">
                  <c:v>6</c:v>
                </c:pt>
                <c:pt idx="23">
                  <c:v>12</c:v>
                </c:pt>
                <c:pt idx="24">
                  <c:v>10</c:v>
                </c:pt>
                <c:pt idx="25">
                  <c:v>15</c:v>
                </c:pt>
                <c:pt idx="26">
                  <c:v>11</c:v>
                </c:pt>
                <c:pt idx="27">
                  <c:v>14</c:v>
                </c:pt>
                <c:pt idx="28">
                  <c:v>14</c:v>
                </c:pt>
                <c:pt idx="29">
                  <c:v>22</c:v>
                </c:pt>
                <c:pt idx="30">
                  <c:v>19</c:v>
                </c:pt>
                <c:pt idx="31">
                  <c:v>18</c:v>
                </c:pt>
                <c:pt idx="32">
                  <c:v>31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Req3!$B$80</c:f>
              <c:strCache>
                <c:ptCount val="1"/>
                <c:pt idx="0">
                  <c:v>CRESTOR 5mg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Req3!$C$80:$AI$80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34</c:v>
                </c:pt>
                <c:pt idx="22">
                  <c:v>82</c:v>
                </c:pt>
                <c:pt idx="23">
                  <c:v>100</c:v>
                </c:pt>
                <c:pt idx="24">
                  <c:v>146</c:v>
                </c:pt>
                <c:pt idx="25">
                  <c:v>155</c:v>
                </c:pt>
                <c:pt idx="26">
                  <c:v>156</c:v>
                </c:pt>
                <c:pt idx="27">
                  <c:v>162</c:v>
                </c:pt>
                <c:pt idx="28">
                  <c:v>171</c:v>
                </c:pt>
                <c:pt idx="29">
                  <c:v>214</c:v>
                </c:pt>
                <c:pt idx="30">
                  <c:v>234</c:v>
                </c:pt>
                <c:pt idx="31">
                  <c:v>208</c:v>
                </c:pt>
                <c:pt idx="32">
                  <c:v>258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Req3!$B$81</c:f>
              <c:strCache>
                <c:ptCount val="1"/>
                <c:pt idx="0">
                  <c:v>CRESTOR 10mg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Req3!$C$81:$AI$81</c:f>
              <c:numCache>
                <c:ptCount val="33"/>
                <c:pt idx="0">
                  <c:v>62</c:v>
                </c:pt>
                <c:pt idx="1">
                  <c:v>126</c:v>
                </c:pt>
                <c:pt idx="2">
                  <c:v>140</c:v>
                </c:pt>
                <c:pt idx="3">
                  <c:v>121</c:v>
                </c:pt>
                <c:pt idx="4">
                  <c:v>134</c:v>
                </c:pt>
                <c:pt idx="5">
                  <c:v>138</c:v>
                </c:pt>
                <c:pt idx="6">
                  <c:v>147</c:v>
                </c:pt>
                <c:pt idx="7">
                  <c:v>114</c:v>
                </c:pt>
                <c:pt idx="8">
                  <c:v>136</c:v>
                </c:pt>
                <c:pt idx="9">
                  <c:v>126</c:v>
                </c:pt>
                <c:pt idx="10">
                  <c:v>162</c:v>
                </c:pt>
                <c:pt idx="11">
                  <c:v>172</c:v>
                </c:pt>
                <c:pt idx="12">
                  <c:v>196</c:v>
                </c:pt>
                <c:pt idx="13">
                  <c:v>202</c:v>
                </c:pt>
                <c:pt idx="14">
                  <c:v>180</c:v>
                </c:pt>
                <c:pt idx="15">
                  <c:v>210</c:v>
                </c:pt>
                <c:pt idx="16">
                  <c:v>197</c:v>
                </c:pt>
                <c:pt idx="17">
                  <c:v>222</c:v>
                </c:pt>
                <c:pt idx="18">
                  <c:v>216</c:v>
                </c:pt>
                <c:pt idx="19">
                  <c:v>215</c:v>
                </c:pt>
                <c:pt idx="20">
                  <c:v>231</c:v>
                </c:pt>
                <c:pt idx="21">
                  <c:v>234</c:v>
                </c:pt>
                <c:pt idx="22">
                  <c:v>265</c:v>
                </c:pt>
                <c:pt idx="23">
                  <c:v>232</c:v>
                </c:pt>
                <c:pt idx="24">
                  <c:v>253</c:v>
                </c:pt>
                <c:pt idx="25">
                  <c:v>263</c:v>
                </c:pt>
                <c:pt idx="26">
                  <c:v>231</c:v>
                </c:pt>
                <c:pt idx="27">
                  <c:v>256</c:v>
                </c:pt>
                <c:pt idx="28">
                  <c:v>247</c:v>
                </c:pt>
                <c:pt idx="29">
                  <c:v>288</c:v>
                </c:pt>
                <c:pt idx="30">
                  <c:v>247</c:v>
                </c:pt>
                <c:pt idx="31">
                  <c:v>244</c:v>
                </c:pt>
                <c:pt idx="32">
                  <c:v>290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Req3!$B$82</c:f>
              <c:strCache>
                <c:ptCount val="1"/>
                <c:pt idx="0">
                  <c:v>CRESTOR 20mg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Req3!$C$82:$AI$82</c:f>
              <c:numCache>
                <c:ptCount val="33"/>
                <c:pt idx="0">
                  <c:v>4</c:v>
                </c:pt>
                <c:pt idx="1">
                  <c:v>12</c:v>
                </c:pt>
                <c:pt idx="2">
                  <c:v>10</c:v>
                </c:pt>
                <c:pt idx="3">
                  <c:v>10</c:v>
                </c:pt>
                <c:pt idx="4">
                  <c:v>14</c:v>
                </c:pt>
                <c:pt idx="5">
                  <c:v>16</c:v>
                </c:pt>
                <c:pt idx="6">
                  <c:v>22</c:v>
                </c:pt>
                <c:pt idx="7">
                  <c:v>19</c:v>
                </c:pt>
                <c:pt idx="8">
                  <c:v>14</c:v>
                </c:pt>
                <c:pt idx="9">
                  <c:v>20</c:v>
                </c:pt>
                <c:pt idx="10">
                  <c:v>27</c:v>
                </c:pt>
                <c:pt idx="11">
                  <c:v>19</c:v>
                </c:pt>
                <c:pt idx="12">
                  <c:v>24</c:v>
                </c:pt>
                <c:pt idx="13">
                  <c:v>23</c:v>
                </c:pt>
                <c:pt idx="14">
                  <c:v>17</c:v>
                </c:pt>
                <c:pt idx="15">
                  <c:v>21</c:v>
                </c:pt>
                <c:pt idx="16">
                  <c:v>24</c:v>
                </c:pt>
                <c:pt idx="17">
                  <c:v>17</c:v>
                </c:pt>
                <c:pt idx="18">
                  <c:v>30</c:v>
                </c:pt>
                <c:pt idx="19">
                  <c:v>28</c:v>
                </c:pt>
                <c:pt idx="20">
                  <c:v>25</c:v>
                </c:pt>
                <c:pt idx="21">
                  <c:v>24</c:v>
                </c:pt>
                <c:pt idx="22">
                  <c:v>32</c:v>
                </c:pt>
                <c:pt idx="23">
                  <c:v>22</c:v>
                </c:pt>
                <c:pt idx="24">
                  <c:v>34</c:v>
                </c:pt>
                <c:pt idx="25">
                  <c:v>28</c:v>
                </c:pt>
                <c:pt idx="26">
                  <c:v>28</c:v>
                </c:pt>
                <c:pt idx="27">
                  <c:v>40</c:v>
                </c:pt>
                <c:pt idx="28">
                  <c:v>26</c:v>
                </c:pt>
                <c:pt idx="29">
                  <c:v>43</c:v>
                </c:pt>
                <c:pt idx="30">
                  <c:v>29</c:v>
                </c:pt>
                <c:pt idx="31">
                  <c:v>28</c:v>
                </c:pt>
                <c:pt idx="32">
                  <c:v>35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Req3!$B$83</c:f>
              <c:strCache>
                <c:ptCount val="1"/>
                <c:pt idx="0">
                  <c:v>EZETROL 10mg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Req3!$C$83:$AI$83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13</c:v>
                </c:pt>
                <c:pt idx="10">
                  <c:v>31</c:v>
                </c:pt>
                <c:pt idx="11">
                  <c:v>43</c:v>
                </c:pt>
                <c:pt idx="12">
                  <c:v>51</c:v>
                </c:pt>
                <c:pt idx="13">
                  <c:v>80</c:v>
                </c:pt>
                <c:pt idx="14">
                  <c:v>71</c:v>
                </c:pt>
                <c:pt idx="15">
                  <c:v>87</c:v>
                </c:pt>
                <c:pt idx="16">
                  <c:v>111</c:v>
                </c:pt>
                <c:pt idx="17">
                  <c:v>115</c:v>
                </c:pt>
                <c:pt idx="18">
                  <c:v>112</c:v>
                </c:pt>
                <c:pt idx="19">
                  <c:v>135</c:v>
                </c:pt>
                <c:pt idx="20">
                  <c:v>141</c:v>
                </c:pt>
                <c:pt idx="21">
                  <c:v>159</c:v>
                </c:pt>
                <c:pt idx="22">
                  <c:v>168</c:v>
                </c:pt>
                <c:pt idx="23">
                  <c:v>128</c:v>
                </c:pt>
                <c:pt idx="24">
                  <c:v>162</c:v>
                </c:pt>
                <c:pt idx="25">
                  <c:v>163</c:v>
                </c:pt>
                <c:pt idx="26">
                  <c:v>156</c:v>
                </c:pt>
                <c:pt idx="27">
                  <c:v>159</c:v>
                </c:pt>
                <c:pt idx="28">
                  <c:v>155</c:v>
                </c:pt>
                <c:pt idx="29">
                  <c:v>189</c:v>
                </c:pt>
                <c:pt idx="30">
                  <c:v>179</c:v>
                </c:pt>
                <c:pt idx="31">
                  <c:v>147</c:v>
                </c:pt>
                <c:pt idx="32">
                  <c:v>188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Req3!$B$84</c:f>
              <c:strCache>
                <c:ptCount val="1"/>
                <c:pt idx="0">
                  <c:v>INEGY 10/20mg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Req3!$C$84:$AI$84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9</c:v>
                </c:pt>
                <c:pt idx="22">
                  <c:v>26</c:v>
                </c:pt>
                <c:pt idx="23">
                  <c:v>25</c:v>
                </c:pt>
                <c:pt idx="24">
                  <c:v>29</c:v>
                </c:pt>
                <c:pt idx="25">
                  <c:v>35</c:v>
                </c:pt>
                <c:pt idx="26">
                  <c:v>39</c:v>
                </c:pt>
                <c:pt idx="27">
                  <c:v>37</c:v>
                </c:pt>
                <c:pt idx="28">
                  <c:v>39</c:v>
                </c:pt>
                <c:pt idx="29">
                  <c:v>41</c:v>
                </c:pt>
                <c:pt idx="30">
                  <c:v>38</c:v>
                </c:pt>
                <c:pt idx="31">
                  <c:v>37</c:v>
                </c:pt>
                <c:pt idx="32">
                  <c:v>54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Req3!$B$85</c:f>
              <c:strCache>
                <c:ptCount val="1"/>
                <c:pt idx="0">
                  <c:v>INEGY 10/40mg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Req3!$C$85:$AI$85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9</c:v>
                </c:pt>
                <c:pt idx="23">
                  <c:v>9</c:v>
                </c:pt>
                <c:pt idx="24">
                  <c:v>23</c:v>
                </c:pt>
                <c:pt idx="25">
                  <c:v>20</c:v>
                </c:pt>
                <c:pt idx="26">
                  <c:v>26</c:v>
                </c:pt>
                <c:pt idx="27">
                  <c:v>28</c:v>
                </c:pt>
                <c:pt idx="28">
                  <c:v>31</c:v>
                </c:pt>
                <c:pt idx="29">
                  <c:v>45</c:v>
                </c:pt>
                <c:pt idx="30">
                  <c:v>32</c:v>
                </c:pt>
                <c:pt idx="31">
                  <c:v>29</c:v>
                </c:pt>
                <c:pt idx="32">
                  <c:v>37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Req3!$B$86</c:f>
              <c:strCache>
                <c:ptCount val="1"/>
                <c:pt idx="0">
                  <c:v>LIPUR 450mg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Req3!$C$86:$AI$86</c:f>
              <c:numCache>
                <c:ptCount val="33"/>
                <c:pt idx="0">
                  <c:v>5</c:v>
                </c:pt>
                <c:pt idx="1">
                  <c:v>11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9</c:v>
                </c:pt>
                <c:pt idx="10">
                  <c:v>12</c:v>
                </c:pt>
                <c:pt idx="11">
                  <c:v>11</c:v>
                </c:pt>
                <c:pt idx="12">
                  <c:v>17</c:v>
                </c:pt>
                <c:pt idx="13">
                  <c:v>11</c:v>
                </c:pt>
                <c:pt idx="14">
                  <c:v>12</c:v>
                </c:pt>
                <c:pt idx="15">
                  <c:v>14</c:v>
                </c:pt>
                <c:pt idx="16">
                  <c:v>16</c:v>
                </c:pt>
                <c:pt idx="17">
                  <c:v>13</c:v>
                </c:pt>
                <c:pt idx="18">
                  <c:v>11</c:v>
                </c:pt>
                <c:pt idx="19">
                  <c:v>14</c:v>
                </c:pt>
                <c:pt idx="20">
                  <c:v>18</c:v>
                </c:pt>
                <c:pt idx="21">
                  <c:v>14</c:v>
                </c:pt>
                <c:pt idx="22">
                  <c:v>10</c:v>
                </c:pt>
                <c:pt idx="23">
                  <c:v>12</c:v>
                </c:pt>
                <c:pt idx="24">
                  <c:v>14</c:v>
                </c:pt>
                <c:pt idx="25">
                  <c:v>15</c:v>
                </c:pt>
                <c:pt idx="26">
                  <c:v>12</c:v>
                </c:pt>
                <c:pt idx="27">
                  <c:v>18</c:v>
                </c:pt>
                <c:pt idx="28">
                  <c:v>16</c:v>
                </c:pt>
                <c:pt idx="29">
                  <c:v>21</c:v>
                </c:pt>
                <c:pt idx="30">
                  <c:v>18</c:v>
                </c:pt>
                <c:pt idx="31">
                  <c:v>12</c:v>
                </c:pt>
                <c:pt idx="32">
                  <c:v>17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Req3!$B$87</c:f>
              <c:strCache>
                <c:ptCount val="1"/>
                <c:pt idx="0">
                  <c:v>Fénofibrate 67mg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Req3!$C$87:$AI$87</c:f>
              <c:numCache>
                <c:ptCount val="33"/>
                <c:pt idx="0">
                  <c:v>70</c:v>
                </c:pt>
                <c:pt idx="1">
                  <c:v>88</c:v>
                </c:pt>
                <c:pt idx="2">
                  <c:v>77</c:v>
                </c:pt>
                <c:pt idx="3">
                  <c:v>86</c:v>
                </c:pt>
                <c:pt idx="4">
                  <c:v>85</c:v>
                </c:pt>
                <c:pt idx="5">
                  <c:v>69</c:v>
                </c:pt>
                <c:pt idx="6">
                  <c:v>81</c:v>
                </c:pt>
                <c:pt idx="7">
                  <c:v>78</c:v>
                </c:pt>
                <c:pt idx="8">
                  <c:v>75</c:v>
                </c:pt>
                <c:pt idx="9">
                  <c:v>65</c:v>
                </c:pt>
                <c:pt idx="10">
                  <c:v>90</c:v>
                </c:pt>
                <c:pt idx="11">
                  <c:v>78</c:v>
                </c:pt>
                <c:pt idx="12">
                  <c:v>86</c:v>
                </c:pt>
                <c:pt idx="13">
                  <c:v>71</c:v>
                </c:pt>
                <c:pt idx="14">
                  <c:v>67</c:v>
                </c:pt>
                <c:pt idx="15">
                  <c:v>64</c:v>
                </c:pt>
                <c:pt idx="16">
                  <c:v>77</c:v>
                </c:pt>
                <c:pt idx="17">
                  <c:v>70</c:v>
                </c:pt>
                <c:pt idx="18">
                  <c:v>66</c:v>
                </c:pt>
                <c:pt idx="19">
                  <c:v>71</c:v>
                </c:pt>
                <c:pt idx="20">
                  <c:v>61</c:v>
                </c:pt>
                <c:pt idx="21">
                  <c:v>67</c:v>
                </c:pt>
                <c:pt idx="22">
                  <c:v>67</c:v>
                </c:pt>
                <c:pt idx="23">
                  <c:v>64</c:v>
                </c:pt>
                <c:pt idx="24">
                  <c:v>76</c:v>
                </c:pt>
                <c:pt idx="25">
                  <c:v>68</c:v>
                </c:pt>
                <c:pt idx="26">
                  <c:v>63</c:v>
                </c:pt>
                <c:pt idx="27">
                  <c:v>60</c:v>
                </c:pt>
                <c:pt idx="28">
                  <c:v>68</c:v>
                </c:pt>
                <c:pt idx="29">
                  <c:v>57</c:v>
                </c:pt>
                <c:pt idx="30">
                  <c:v>70</c:v>
                </c:pt>
                <c:pt idx="31">
                  <c:v>64</c:v>
                </c:pt>
                <c:pt idx="32">
                  <c:v>63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Req3!$B$88</c:f>
              <c:strCache>
                <c:ptCount val="1"/>
                <c:pt idx="0">
                  <c:v>Fénofibrate 100mg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Req3!$C$88:$AI$88</c:f>
              <c:numCache>
                <c:ptCount val="33"/>
                <c:pt idx="0">
                  <c:v>32</c:v>
                </c:pt>
                <c:pt idx="1">
                  <c:v>47</c:v>
                </c:pt>
                <c:pt idx="2">
                  <c:v>52</c:v>
                </c:pt>
                <c:pt idx="3">
                  <c:v>33</c:v>
                </c:pt>
                <c:pt idx="4">
                  <c:v>37</c:v>
                </c:pt>
                <c:pt idx="5">
                  <c:v>27</c:v>
                </c:pt>
                <c:pt idx="6">
                  <c:v>34</c:v>
                </c:pt>
                <c:pt idx="7">
                  <c:v>31</c:v>
                </c:pt>
                <c:pt idx="8">
                  <c:v>32</c:v>
                </c:pt>
                <c:pt idx="9">
                  <c:v>31</c:v>
                </c:pt>
                <c:pt idx="10">
                  <c:v>38</c:v>
                </c:pt>
                <c:pt idx="11">
                  <c:v>31</c:v>
                </c:pt>
                <c:pt idx="12">
                  <c:v>40</c:v>
                </c:pt>
                <c:pt idx="13">
                  <c:v>31</c:v>
                </c:pt>
                <c:pt idx="14">
                  <c:v>27</c:v>
                </c:pt>
                <c:pt idx="15">
                  <c:v>31</c:v>
                </c:pt>
                <c:pt idx="16">
                  <c:v>35</c:v>
                </c:pt>
                <c:pt idx="17">
                  <c:v>33</c:v>
                </c:pt>
                <c:pt idx="18">
                  <c:v>33</c:v>
                </c:pt>
                <c:pt idx="19">
                  <c:v>40</c:v>
                </c:pt>
                <c:pt idx="20">
                  <c:v>35</c:v>
                </c:pt>
                <c:pt idx="21">
                  <c:v>33</c:v>
                </c:pt>
                <c:pt idx="22">
                  <c:v>31</c:v>
                </c:pt>
                <c:pt idx="23">
                  <c:v>29</c:v>
                </c:pt>
                <c:pt idx="24">
                  <c:v>31</c:v>
                </c:pt>
                <c:pt idx="25">
                  <c:v>26</c:v>
                </c:pt>
                <c:pt idx="26">
                  <c:v>29</c:v>
                </c:pt>
                <c:pt idx="27">
                  <c:v>34</c:v>
                </c:pt>
                <c:pt idx="28">
                  <c:v>25</c:v>
                </c:pt>
                <c:pt idx="29">
                  <c:v>36</c:v>
                </c:pt>
                <c:pt idx="30">
                  <c:v>30</c:v>
                </c:pt>
                <c:pt idx="31">
                  <c:v>29</c:v>
                </c:pt>
                <c:pt idx="32">
                  <c:v>28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Req3!$B$89</c:f>
              <c:strCache>
                <c:ptCount val="1"/>
                <c:pt idx="0">
                  <c:v>Fénofibrate 140mg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Req3!$C$89:$AI$89</c:f>
              <c:numCache>
                <c:ptCount val="33"/>
                <c:pt idx="0">
                  <c:v>16</c:v>
                </c:pt>
                <c:pt idx="1">
                  <c:v>14</c:v>
                </c:pt>
                <c:pt idx="2">
                  <c:v>11</c:v>
                </c:pt>
                <c:pt idx="3">
                  <c:v>14</c:v>
                </c:pt>
                <c:pt idx="4">
                  <c:v>16</c:v>
                </c:pt>
                <c:pt idx="5">
                  <c:v>19</c:v>
                </c:pt>
                <c:pt idx="6">
                  <c:v>17</c:v>
                </c:pt>
                <c:pt idx="7">
                  <c:v>15</c:v>
                </c:pt>
                <c:pt idx="8">
                  <c:v>19</c:v>
                </c:pt>
                <c:pt idx="9">
                  <c:v>19</c:v>
                </c:pt>
                <c:pt idx="10">
                  <c:v>15</c:v>
                </c:pt>
                <c:pt idx="11">
                  <c:v>15</c:v>
                </c:pt>
                <c:pt idx="12">
                  <c:v>12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18</c:v>
                </c:pt>
                <c:pt idx="17">
                  <c:v>14</c:v>
                </c:pt>
                <c:pt idx="18">
                  <c:v>18</c:v>
                </c:pt>
                <c:pt idx="19">
                  <c:v>15</c:v>
                </c:pt>
                <c:pt idx="20">
                  <c:v>17</c:v>
                </c:pt>
                <c:pt idx="21">
                  <c:v>13</c:v>
                </c:pt>
                <c:pt idx="22">
                  <c:v>16</c:v>
                </c:pt>
                <c:pt idx="23">
                  <c:v>15</c:v>
                </c:pt>
                <c:pt idx="24">
                  <c:v>21</c:v>
                </c:pt>
                <c:pt idx="25">
                  <c:v>17</c:v>
                </c:pt>
                <c:pt idx="26">
                  <c:v>19</c:v>
                </c:pt>
                <c:pt idx="27">
                  <c:v>17</c:v>
                </c:pt>
                <c:pt idx="28">
                  <c:v>20</c:v>
                </c:pt>
                <c:pt idx="29">
                  <c:v>15</c:v>
                </c:pt>
                <c:pt idx="30">
                  <c:v>13</c:v>
                </c:pt>
                <c:pt idx="31">
                  <c:v>17</c:v>
                </c:pt>
                <c:pt idx="32">
                  <c:v>22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Req3!$B$90</c:f>
              <c:strCache>
                <c:ptCount val="1"/>
                <c:pt idx="0">
                  <c:v>Fénofibrate 145mg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Req3!$C$90:$AI$90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47</c:v>
                </c:pt>
                <c:pt idx="23">
                  <c:v>92</c:v>
                </c:pt>
                <c:pt idx="24">
                  <c:v>157</c:v>
                </c:pt>
                <c:pt idx="25">
                  <c:v>200</c:v>
                </c:pt>
                <c:pt idx="26">
                  <c:v>209</c:v>
                </c:pt>
                <c:pt idx="27">
                  <c:v>252</c:v>
                </c:pt>
                <c:pt idx="28">
                  <c:v>245</c:v>
                </c:pt>
                <c:pt idx="29">
                  <c:v>273</c:v>
                </c:pt>
                <c:pt idx="30">
                  <c:v>271</c:v>
                </c:pt>
                <c:pt idx="31">
                  <c:v>284</c:v>
                </c:pt>
                <c:pt idx="32">
                  <c:v>323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Req3!$B$91</c:f>
              <c:strCache>
                <c:ptCount val="1"/>
                <c:pt idx="0">
                  <c:v>Fénofibrate 160mg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Req3!$C$91:$AI$91</c:f>
              <c:numCache>
                <c:ptCount val="33"/>
                <c:pt idx="0">
                  <c:v>457</c:v>
                </c:pt>
                <c:pt idx="1">
                  <c:v>565</c:v>
                </c:pt>
                <c:pt idx="2">
                  <c:v>505</c:v>
                </c:pt>
                <c:pt idx="3">
                  <c:v>531</c:v>
                </c:pt>
                <c:pt idx="4">
                  <c:v>523</c:v>
                </c:pt>
                <c:pt idx="5">
                  <c:v>524</c:v>
                </c:pt>
                <c:pt idx="6">
                  <c:v>601</c:v>
                </c:pt>
                <c:pt idx="7">
                  <c:v>576</c:v>
                </c:pt>
                <c:pt idx="8">
                  <c:v>579</c:v>
                </c:pt>
                <c:pt idx="9">
                  <c:v>556</c:v>
                </c:pt>
                <c:pt idx="10">
                  <c:v>634</c:v>
                </c:pt>
                <c:pt idx="11">
                  <c:v>604</c:v>
                </c:pt>
                <c:pt idx="12">
                  <c:v>623</c:v>
                </c:pt>
                <c:pt idx="13">
                  <c:v>594</c:v>
                </c:pt>
                <c:pt idx="14">
                  <c:v>571</c:v>
                </c:pt>
                <c:pt idx="15">
                  <c:v>601</c:v>
                </c:pt>
                <c:pt idx="16">
                  <c:v>590</c:v>
                </c:pt>
                <c:pt idx="17">
                  <c:v>566</c:v>
                </c:pt>
                <c:pt idx="18">
                  <c:v>626</c:v>
                </c:pt>
                <c:pt idx="19">
                  <c:v>582</c:v>
                </c:pt>
                <c:pt idx="20">
                  <c:v>574</c:v>
                </c:pt>
                <c:pt idx="21">
                  <c:v>512</c:v>
                </c:pt>
                <c:pt idx="22">
                  <c:v>566</c:v>
                </c:pt>
                <c:pt idx="23">
                  <c:v>422</c:v>
                </c:pt>
                <c:pt idx="24">
                  <c:v>461</c:v>
                </c:pt>
                <c:pt idx="25">
                  <c:v>408</c:v>
                </c:pt>
                <c:pt idx="26">
                  <c:v>337</c:v>
                </c:pt>
                <c:pt idx="27">
                  <c:v>376</c:v>
                </c:pt>
                <c:pt idx="28">
                  <c:v>333</c:v>
                </c:pt>
                <c:pt idx="29">
                  <c:v>346</c:v>
                </c:pt>
                <c:pt idx="30">
                  <c:v>316</c:v>
                </c:pt>
                <c:pt idx="31">
                  <c:v>279</c:v>
                </c:pt>
                <c:pt idx="32">
                  <c:v>317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Req3!$B$92</c:f>
              <c:strCache>
                <c:ptCount val="1"/>
                <c:pt idx="0">
                  <c:v>Fénofibrate 200mg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Req3!$C$92:$AI$92</c:f>
              <c:numCache>
                <c:ptCount val="33"/>
                <c:pt idx="0">
                  <c:v>347</c:v>
                </c:pt>
                <c:pt idx="1">
                  <c:v>413</c:v>
                </c:pt>
                <c:pt idx="2">
                  <c:v>360</c:v>
                </c:pt>
                <c:pt idx="3">
                  <c:v>378</c:v>
                </c:pt>
                <c:pt idx="4">
                  <c:v>374</c:v>
                </c:pt>
                <c:pt idx="5">
                  <c:v>385</c:v>
                </c:pt>
                <c:pt idx="6">
                  <c:v>401</c:v>
                </c:pt>
                <c:pt idx="7">
                  <c:v>388</c:v>
                </c:pt>
                <c:pt idx="8">
                  <c:v>341</c:v>
                </c:pt>
                <c:pt idx="9">
                  <c:v>308</c:v>
                </c:pt>
                <c:pt idx="10">
                  <c:v>402</c:v>
                </c:pt>
                <c:pt idx="11">
                  <c:v>362</c:v>
                </c:pt>
                <c:pt idx="12">
                  <c:v>362</c:v>
                </c:pt>
                <c:pt idx="13">
                  <c:v>369</c:v>
                </c:pt>
                <c:pt idx="14">
                  <c:v>342</c:v>
                </c:pt>
                <c:pt idx="15">
                  <c:v>372</c:v>
                </c:pt>
                <c:pt idx="16">
                  <c:v>381</c:v>
                </c:pt>
                <c:pt idx="17">
                  <c:v>368</c:v>
                </c:pt>
                <c:pt idx="18">
                  <c:v>352</c:v>
                </c:pt>
                <c:pt idx="19">
                  <c:v>382</c:v>
                </c:pt>
                <c:pt idx="20">
                  <c:v>347</c:v>
                </c:pt>
                <c:pt idx="21">
                  <c:v>351</c:v>
                </c:pt>
                <c:pt idx="22">
                  <c:v>349</c:v>
                </c:pt>
                <c:pt idx="23">
                  <c:v>312</c:v>
                </c:pt>
                <c:pt idx="24">
                  <c:v>353</c:v>
                </c:pt>
                <c:pt idx="25">
                  <c:v>330</c:v>
                </c:pt>
                <c:pt idx="26">
                  <c:v>291</c:v>
                </c:pt>
                <c:pt idx="27">
                  <c:v>310</c:v>
                </c:pt>
                <c:pt idx="28">
                  <c:v>316</c:v>
                </c:pt>
                <c:pt idx="29">
                  <c:v>360</c:v>
                </c:pt>
                <c:pt idx="30">
                  <c:v>311</c:v>
                </c:pt>
                <c:pt idx="31">
                  <c:v>297</c:v>
                </c:pt>
                <c:pt idx="32">
                  <c:v>320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Req3!$B$93</c:f>
              <c:strCache>
                <c:ptCount val="1"/>
                <c:pt idx="0">
                  <c:v>Fénofibrate 300mg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Req3!$C$93:$AI$93</c:f>
              <c:numCache>
                <c:ptCount val="33"/>
                <c:pt idx="0">
                  <c:v>119</c:v>
                </c:pt>
                <c:pt idx="1">
                  <c:v>164</c:v>
                </c:pt>
                <c:pt idx="2">
                  <c:v>149</c:v>
                </c:pt>
                <c:pt idx="3">
                  <c:v>116</c:v>
                </c:pt>
                <c:pt idx="4">
                  <c:v>135</c:v>
                </c:pt>
                <c:pt idx="5">
                  <c:v>125</c:v>
                </c:pt>
                <c:pt idx="6">
                  <c:v>128</c:v>
                </c:pt>
                <c:pt idx="7">
                  <c:v>140</c:v>
                </c:pt>
                <c:pt idx="8">
                  <c:v>121</c:v>
                </c:pt>
                <c:pt idx="9">
                  <c:v>121</c:v>
                </c:pt>
                <c:pt idx="10">
                  <c:v>132</c:v>
                </c:pt>
                <c:pt idx="11">
                  <c:v>109</c:v>
                </c:pt>
                <c:pt idx="12">
                  <c:v>135</c:v>
                </c:pt>
                <c:pt idx="13">
                  <c:v>118</c:v>
                </c:pt>
                <c:pt idx="14">
                  <c:v>110</c:v>
                </c:pt>
                <c:pt idx="15">
                  <c:v>125</c:v>
                </c:pt>
                <c:pt idx="16">
                  <c:v>132</c:v>
                </c:pt>
                <c:pt idx="17">
                  <c:v>133</c:v>
                </c:pt>
                <c:pt idx="18">
                  <c:v>119</c:v>
                </c:pt>
                <c:pt idx="19">
                  <c:v>129</c:v>
                </c:pt>
                <c:pt idx="20">
                  <c:v>130</c:v>
                </c:pt>
                <c:pt idx="21">
                  <c:v>112</c:v>
                </c:pt>
                <c:pt idx="22">
                  <c:v>130</c:v>
                </c:pt>
                <c:pt idx="23">
                  <c:v>109</c:v>
                </c:pt>
                <c:pt idx="24">
                  <c:v>112</c:v>
                </c:pt>
                <c:pt idx="25">
                  <c:v>116</c:v>
                </c:pt>
                <c:pt idx="26">
                  <c:v>99</c:v>
                </c:pt>
                <c:pt idx="27">
                  <c:v>117</c:v>
                </c:pt>
                <c:pt idx="28">
                  <c:v>106</c:v>
                </c:pt>
                <c:pt idx="29">
                  <c:v>121</c:v>
                </c:pt>
                <c:pt idx="30">
                  <c:v>108</c:v>
                </c:pt>
                <c:pt idx="31">
                  <c:v>89</c:v>
                </c:pt>
                <c:pt idx="32">
                  <c:v>114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Req3!$B$94</c:f>
              <c:strCache>
                <c:ptCount val="1"/>
                <c:pt idx="0">
                  <c:v>CADUET® (=TAHOR® 10mg)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Req3!$C$65:$AI$65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Req3!$C$94:$AI$94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</c:numCache>
            </c:numRef>
          </c:val>
          <c:smooth val="0"/>
        </c:ser>
        <c:marker val="1"/>
        <c:axId val="29426201"/>
        <c:axId val="63509218"/>
      </c:lineChart>
      <c:dateAx>
        <c:axId val="29426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3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509218"/>
        <c:crosses val="autoZero"/>
        <c:auto val="0"/>
        <c:noMultiLvlLbl val="0"/>
      </c:dateAx>
      <c:valAx>
        <c:axId val="63509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Nbre boites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262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"/>
          <c:w val="0.175"/>
          <c:h val="1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Coût moyen par patient (données mensuelles)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- 549 médecins non visités au 16/01/2007</a:t>
            </a:r>
          </a:p>
        </c:rich>
      </c:tx>
      <c:layout>
        <c:manualLayout>
          <c:xMode val="factor"/>
          <c:yMode val="factor"/>
          <c:x val="0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025"/>
          <c:w val="0.754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'Coût par patient'!$B$37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'Coût par patient'!$C$36:$AI$36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'Coût par patient'!$C$37:$AI$37</c:f>
              <c:numCache>
                <c:ptCount val="33"/>
                <c:pt idx="0">
                  <c:v>22.335275331564986</c:v>
                </c:pt>
                <c:pt idx="1">
                  <c:v>24.57770013477089</c:v>
                </c:pt>
                <c:pt idx="2">
                  <c:v>23.645624694973158</c:v>
                </c:pt>
                <c:pt idx="3">
                  <c:v>23.927146341463416</c:v>
                </c:pt>
                <c:pt idx="4">
                  <c:v>24.19576377952756</c:v>
                </c:pt>
                <c:pt idx="5">
                  <c:v>23.31152177068215</c:v>
                </c:pt>
                <c:pt idx="6">
                  <c:v>23.966330042313118</c:v>
                </c:pt>
                <c:pt idx="7">
                  <c:v>24.50572865142324</c:v>
                </c:pt>
                <c:pt idx="8">
                  <c:v>23.86864676258993</c:v>
                </c:pt>
                <c:pt idx="9">
                  <c:v>23.29203358778626</c:v>
                </c:pt>
                <c:pt idx="10">
                  <c:v>24.32263609601449</c:v>
                </c:pt>
                <c:pt idx="11">
                  <c:v>23.591959673659673</c:v>
                </c:pt>
                <c:pt idx="12">
                  <c:v>22.468400879120875</c:v>
                </c:pt>
                <c:pt idx="13">
                  <c:v>20.742851693002255</c:v>
                </c:pt>
                <c:pt idx="14">
                  <c:v>19.630340262087664</c:v>
                </c:pt>
                <c:pt idx="15">
                  <c:v>19.77684605704698</c:v>
                </c:pt>
                <c:pt idx="16">
                  <c:v>19.139777987421382</c:v>
                </c:pt>
                <c:pt idx="17">
                  <c:v>18.474577239112573</c:v>
                </c:pt>
                <c:pt idx="18">
                  <c:v>19.00469163694015</c:v>
                </c:pt>
                <c:pt idx="19">
                  <c:v>18.697936737804877</c:v>
                </c:pt>
                <c:pt idx="20">
                  <c:v>18.258224050137095</c:v>
                </c:pt>
                <c:pt idx="21">
                  <c:v>17.691657433808555</c:v>
                </c:pt>
                <c:pt idx="22">
                  <c:v>18.008774971941637</c:v>
                </c:pt>
                <c:pt idx="23">
                  <c:v>17.240575548334686</c:v>
                </c:pt>
                <c:pt idx="24">
                  <c:v>17.829239926062847</c:v>
                </c:pt>
                <c:pt idx="25">
                  <c:v>17.584627362055937</c:v>
                </c:pt>
                <c:pt idx="26">
                  <c:v>17.422883139534882</c:v>
                </c:pt>
                <c:pt idx="27">
                  <c:v>17.806523242412602</c:v>
                </c:pt>
                <c:pt idx="28">
                  <c:v>17.12274837600306</c:v>
                </c:pt>
                <c:pt idx="29">
                  <c:v>17.612835549964053</c:v>
                </c:pt>
                <c:pt idx="30">
                  <c:v>17.102335311572702</c:v>
                </c:pt>
                <c:pt idx="31">
                  <c:v>16.775560474755085</c:v>
                </c:pt>
                <c:pt idx="32">
                  <c:v>17.298071453108896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'Coût par patient'!$B$38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'Coût par patient'!$C$36:$AI$36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'Coût par patient'!$C$38:$AI$38</c:f>
              <c:numCache>
                <c:ptCount val="33"/>
                <c:pt idx="0">
                  <c:v>23.542274376417236</c:v>
                </c:pt>
                <c:pt idx="1">
                  <c:v>25.455420031055898</c:v>
                </c:pt>
                <c:pt idx="2">
                  <c:v>24.357561787505702</c:v>
                </c:pt>
                <c:pt idx="3">
                  <c:v>24.957947957535193</c:v>
                </c:pt>
                <c:pt idx="4">
                  <c:v>24.836332304526746</c:v>
                </c:pt>
                <c:pt idx="5">
                  <c:v>24.314984925737086</c:v>
                </c:pt>
                <c:pt idx="6">
                  <c:v>24.63676542807475</c:v>
                </c:pt>
                <c:pt idx="7">
                  <c:v>24.94325982814178</c:v>
                </c:pt>
                <c:pt idx="8">
                  <c:v>24.414546345621137</c:v>
                </c:pt>
                <c:pt idx="9">
                  <c:v>23.686627077562324</c:v>
                </c:pt>
                <c:pt idx="10">
                  <c:v>25.416843095383364</c:v>
                </c:pt>
                <c:pt idx="11">
                  <c:v>24.392584789846026</c:v>
                </c:pt>
                <c:pt idx="12">
                  <c:v>25.162721695194886</c:v>
                </c:pt>
                <c:pt idx="13">
                  <c:v>25.025714346170123</c:v>
                </c:pt>
                <c:pt idx="14">
                  <c:v>24.382988089986764</c:v>
                </c:pt>
                <c:pt idx="15">
                  <c:v>25.755641472868216</c:v>
                </c:pt>
                <c:pt idx="16">
                  <c:v>25.42363220892274</c:v>
                </c:pt>
                <c:pt idx="17">
                  <c:v>24.929720875944863</c:v>
                </c:pt>
                <c:pt idx="18">
                  <c:v>25.40996582223193</c:v>
                </c:pt>
                <c:pt idx="19">
                  <c:v>25.21680252460419</c:v>
                </c:pt>
                <c:pt idx="20">
                  <c:v>24.822452826086955</c:v>
                </c:pt>
                <c:pt idx="21">
                  <c:v>24.257245155475438</c:v>
                </c:pt>
                <c:pt idx="22">
                  <c:v>25.373125835669615</c:v>
                </c:pt>
                <c:pt idx="23">
                  <c:v>24.339487317989665</c:v>
                </c:pt>
                <c:pt idx="24">
                  <c:v>26.12976690470877</c:v>
                </c:pt>
                <c:pt idx="25">
                  <c:v>25.55040093708166</c:v>
                </c:pt>
                <c:pt idx="26">
                  <c:v>23.511296622097117</c:v>
                </c:pt>
                <c:pt idx="27">
                  <c:v>22.22162530603161</c:v>
                </c:pt>
                <c:pt idx="28">
                  <c:v>20.67860885840502</c:v>
                </c:pt>
                <c:pt idx="29">
                  <c:v>20.412347439824945</c:v>
                </c:pt>
                <c:pt idx="30">
                  <c:v>19.56955621033545</c:v>
                </c:pt>
                <c:pt idx="31">
                  <c:v>19.081234542884076</c:v>
                </c:pt>
                <c:pt idx="32">
                  <c:v>20.112795048025614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'Coût par patient'!$B$39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'Coût par patient'!$C$36:$AI$36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'Coût par patient'!$C$39:$AI$39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27.762133333333335</c:v>
                </c:pt>
                <c:pt idx="26">
                  <c:v>28.290217391304346</c:v>
                </c:pt>
                <c:pt idx="27">
                  <c:v>32.44732258064516</c:v>
                </c:pt>
                <c:pt idx="28">
                  <c:v>28.689608695652172</c:v>
                </c:pt>
                <c:pt idx="29">
                  <c:v>30.856940476190477</c:v>
                </c:pt>
                <c:pt idx="30">
                  <c:v>29.8486931372549</c:v>
                </c:pt>
                <c:pt idx="31">
                  <c:v>29.30482403100775</c:v>
                </c:pt>
                <c:pt idx="32">
                  <c:v>29.864947368421053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'Coût par patient'!$B$40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'Coût par patient'!$C$36:$AI$36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'Coût par patient'!$C$40:$AI$40</c:f>
              <c:numCache>
                <c:ptCount val="33"/>
                <c:pt idx="0">
                  <c:v>19.856516052318668</c:v>
                </c:pt>
                <c:pt idx="1">
                  <c:v>21.624620253164558</c:v>
                </c:pt>
                <c:pt idx="2">
                  <c:v>20.878868871151653</c:v>
                </c:pt>
                <c:pt idx="3">
                  <c:v>21.357353644646924</c:v>
                </c:pt>
                <c:pt idx="4">
                  <c:v>21.227737988826814</c:v>
                </c:pt>
                <c:pt idx="5">
                  <c:v>20.646801191765977</c:v>
                </c:pt>
                <c:pt idx="6">
                  <c:v>21.213432446808508</c:v>
                </c:pt>
                <c:pt idx="7">
                  <c:v>21.147620967741936</c:v>
                </c:pt>
                <c:pt idx="8">
                  <c:v>20.561768672199168</c:v>
                </c:pt>
                <c:pt idx="9">
                  <c:v>20.024552072263546</c:v>
                </c:pt>
                <c:pt idx="10">
                  <c:v>22.05274488802337</c:v>
                </c:pt>
                <c:pt idx="11">
                  <c:v>20.430600100100097</c:v>
                </c:pt>
                <c:pt idx="12">
                  <c:v>21.239350423330198</c:v>
                </c:pt>
                <c:pt idx="13">
                  <c:v>20.821629241516966</c:v>
                </c:pt>
                <c:pt idx="14">
                  <c:v>20.94047446808511</c:v>
                </c:pt>
                <c:pt idx="15">
                  <c:v>21.6325593306288</c:v>
                </c:pt>
                <c:pt idx="16">
                  <c:v>20.776920395421435</c:v>
                </c:pt>
                <c:pt idx="17">
                  <c:v>21.106807732497387</c:v>
                </c:pt>
                <c:pt idx="18">
                  <c:v>20.871106091370557</c:v>
                </c:pt>
                <c:pt idx="19">
                  <c:v>20.79349383983573</c:v>
                </c:pt>
                <c:pt idx="20">
                  <c:v>20.76371937751004</c:v>
                </c:pt>
                <c:pt idx="21">
                  <c:v>20.259312499999997</c:v>
                </c:pt>
                <c:pt idx="22">
                  <c:v>20.983063840653728</c:v>
                </c:pt>
                <c:pt idx="23">
                  <c:v>20.40668771331058</c:v>
                </c:pt>
                <c:pt idx="24">
                  <c:v>21.36914322916667</c:v>
                </c:pt>
                <c:pt idx="25">
                  <c:v>21.13888006396589</c:v>
                </c:pt>
                <c:pt idx="26">
                  <c:v>20.76154431818182</c:v>
                </c:pt>
                <c:pt idx="27">
                  <c:v>21.289998463227224</c:v>
                </c:pt>
                <c:pt idx="28">
                  <c:v>20.41165661016949</c:v>
                </c:pt>
                <c:pt idx="29">
                  <c:v>20.811618086225025</c:v>
                </c:pt>
                <c:pt idx="30">
                  <c:v>21.217707587768967</c:v>
                </c:pt>
                <c:pt idx="31">
                  <c:v>21.670632033096926</c:v>
                </c:pt>
                <c:pt idx="32">
                  <c:v>22.57448536036036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'Coût par patient'!$B$41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'Coût par patient'!$C$36:$AI$36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'Coût par patient'!$C$41:$AI$41</c:f>
              <c:numCache>
                <c:ptCount val="33"/>
                <c:pt idx="0">
                  <c:v>29.272356730422228</c:v>
                </c:pt>
                <c:pt idx="1">
                  <c:v>31.57285412026726</c:v>
                </c:pt>
                <c:pt idx="2">
                  <c:v>30.236861987114278</c:v>
                </c:pt>
                <c:pt idx="3">
                  <c:v>30.965952324797847</c:v>
                </c:pt>
                <c:pt idx="4">
                  <c:v>30.60075649030562</c:v>
                </c:pt>
                <c:pt idx="5">
                  <c:v>30.134851161269214</c:v>
                </c:pt>
                <c:pt idx="6">
                  <c:v>30.49975917288557</c:v>
                </c:pt>
                <c:pt idx="7">
                  <c:v>30.706455640243906</c:v>
                </c:pt>
                <c:pt idx="8">
                  <c:v>30.070611995104038</c:v>
                </c:pt>
                <c:pt idx="9">
                  <c:v>29.37659057271557</c:v>
                </c:pt>
                <c:pt idx="10">
                  <c:v>31.134479568345323</c:v>
                </c:pt>
                <c:pt idx="11">
                  <c:v>30.040025800711746</c:v>
                </c:pt>
                <c:pt idx="12">
                  <c:v>30.435385273972603</c:v>
                </c:pt>
                <c:pt idx="13">
                  <c:v>30.265283791606368</c:v>
                </c:pt>
                <c:pt idx="14">
                  <c:v>29.96203294867902</c:v>
                </c:pt>
                <c:pt idx="15">
                  <c:v>31.515620772223883</c:v>
                </c:pt>
                <c:pt idx="16">
                  <c:v>30.64511148648649</c:v>
                </c:pt>
                <c:pt idx="17">
                  <c:v>30.178177149802494</c:v>
                </c:pt>
                <c:pt idx="18">
                  <c:v>30.806493685756248</c:v>
                </c:pt>
                <c:pt idx="19">
                  <c:v>30.918209911242602</c:v>
                </c:pt>
                <c:pt idx="20">
                  <c:v>30.437478539493295</c:v>
                </c:pt>
                <c:pt idx="21">
                  <c:v>29.755436196319017</c:v>
                </c:pt>
                <c:pt idx="22">
                  <c:v>31.28936123219994</c:v>
                </c:pt>
                <c:pt idx="23">
                  <c:v>29.75165817307692</c:v>
                </c:pt>
                <c:pt idx="24">
                  <c:v>31.493394085081583</c:v>
                </c:pt>
                <c:pt idx="25">
                  <c:v>28.300431349440185</c:v>
                </c:pt>
                <c:pt idx="26">
                  <c:v>27.647991209130165</c:v>
                </c:pt>
                <c:pt idx="27">
                  <c:v>29.010630842512654</c:v>
                </c:pt>
                <c:pt idx="28">
                  <c:v>27.994551274178693</c:v>
                </c:pt>
                <c:pt idx="29">
                  <c:v>29.099168809241704</c:v>
                </c:pt>
                <c:pt idx="30">
                  <c:v>28.090751914893616</c:v>
                </c:pt>
                <c:pt idx="31">
                  <c:v>25.232711279826464</c:v>
                </c:pt>
                <c:pt idx="32">
                  <c:v>27.05831713547646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'Coût par patient'!$B$42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'Coût par patient'!$C$36:$AI$36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'Coût par patient'!$C$42:$AI$42</c:f>
              <c:numCache>
                <c:ptCount val="33"/>
                <c:pt idx="0">
                  <c:v>23.29655</c:v>
                </c:pt>
                <c:pt idx="1">
                  <c:v>26.492802631578947</c:v>
                </c:pt>
                <c:pt idx="2">
                  <c:v>26.091182522123894</c:v>
                </c:pt>
                <c:pt idx="3">
                  <c:v>25.48784935897436</c:v>
                </c:pt>
                <c:pt idx="4">
                  <c:v>24.90764854368932</c:v>
                </c:pt>
                <c:pt idx="5">
                  <c:v>24.896951020408164</c:v>
                </c:pt>
                <c:pt idx="6">
                  <c:v>25.363268749999996</c:v>
                </c:pt>
                <c:pt idx="7">
                  <c:v>26.0725150862069</c:v>
                </c:pt>
                <c:pt idx="8">
                  <c:v>25.534747357293867</c:v>
                </c:pt>
                <c:pt idx="9">
                  <c:v>25.304923625254585</c:v>
                </c:pt>
                <c:pt idx="10">
                  <c:v>26.268112565445023</c:v>
                </c:pt>
                <c:pt idx="11">
                  <c:v>25.860979965156794</c:v>
                </c:pt>
                <c:pt idx="12">
                  <c:v>26.355861852433282</c:v>
                </c:pt>
                <c:pt idx="13">
                  <c:v>26.18175</c:v>
                </c:pt>
                <c:pt idx="14">
                  <c:v>25.711012383900925</c:v>
                </c:pt>
                <c:pt idx="15">
                  <c:v>27.15187331334333</c:v>
                </c:pt>
                <c:pt idx="16">
                  <c:v>26.669128467153282</c:v>
                </c:pt>
                <c:pt idx="17">
                  <c:v>25.928984716157203</c:v>
                </c:pt>
                <c:pt idx="18">
                  <c:v>27.05275138504155</c:v>
                </c:pt>
                <c:pt idx="19">
                  <c:v>26.925590066225162</c:v>
                </c:pt>
                <c:pt idx="20">
                  <c:v>26.933074049803405</c:v>
                </c:pt>
                <c:pt idx="21">
                  <c:v>24.58972696245734</c:v>
                </c:pt>
                <c:pt idx="22">
                  <c:v>24.50436878453039</c:v>
                </c:pt>
                <c:pt idx="23">
                  <c:v>22.879515235457067</c:v>
                </c:pt>
                <c:pt idx="24">
                  <c:v>22.96470604182804</c:v>
                </c:pt>
                <c:pt idx="25">
                  <c:v>22.78196140472879</c:v>
                </c:pt>
                <c:pt idx="26">
                  <c:v>21.940585126353792</c:v>
                </c:pt>
                <c:pt idx="27">
                  <c:v>23.211109193121693</c:v>
                </c:pt>
                <c:pt idx="28">
                  <c:v>21.972662666666665</c:v>
                </c:pt>
                <c:pt idx="29">
                  <c:v>23.00157388193202</c:v>
                </c:pt>
                <c:pt idx="30">
                  <c:v>21.602188941454763</c:v>
                </c:pt>
                <c:pt idx="31">
                  <c:v>21.450015640096616</c:v>
                </c:pt>
                <c:pt idx="32">
                  <c:v>22.79410312331718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'Coût par patient'!$B$43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'Coût par patient'!$C$36:$AI$36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'Coût par patient'!$C$43:$AI$43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37.61851785714286</c:v>
                </c:pt>
                <c:pt idx="9">
                  <c:v>37.47137333333333</c:v>
                </c:pt>
                <c:pt idx="10">
                  <c:v>39.92655279503106</c:v>
                </c:pt>
                <c:pt idx="11">
                  <c:v>39.43197512437811</c:v>
                </c:pt>
                <c:pt idx="12">
                  <c:v>40.09871992481203</c:v>
                </c:pt>
                <c:pt idx="13">
                  <c:v>39.452516611295685</c:v>
                </c:pt>
                <c:pt idx="14">
                  <c:v>39.1893125</c:v>
                </c:pt>
                <c:pt idx="15">
                  <c:v>41.62612</c:v>
                </c:pt>
                <c:pt idx="16">
                  <c:v>41.8711757493188</c:v>
                </c:pt>
                <c:pt idx="17">
                  <c:v>40.69558312342569</c:v>
                </c:pt>
                <c:pt idx="18">
                  <c:v>41.006090243902435</c:v>
                </c:pt>
                <c:pt idx="19">
                  <c:v>41.479195121951214</c:v>
                </c:pt>
                <c:pt idx="20">
                  <c:v>42.24912770562771</c:v>
                </c:pt>
                <c:pt idx="21">
                  <c:v>40.381164989939634</c:v>
                </c:pt>
                <c:pt idx="22">
                  <c:v>42.11548200757576</c:v>
                </c:pt>
                <c:pt idx="23">
                  <c:v>40.921214285714285</c:v>
                </c:pt>
                <c:pt idx="24">
                  <c:v>41.998674766355144</c:v>
                </c:pt>
                <c:pt idx="25">
                  <c:v>42.748069872958254</c:v>
                </c:pt>
                <c:pt idx="26">
                  <c:v>41.07628745318352</c:v>
                </c:pt>
                <c:pt idx="27">
                  <c:v>42.89944655797102</c:v>
                </c:pt>
                <c:pt idx="28">
                  <c:v>41.687862068965515</c:v>
                </c:pt>
                <c:pt idx="29">
                  <c:v>44.705062836624776</c:v>
                </c:pt>
                <c:pt idx="30">
                  <c:v>42.23454339963833</c:v>
                </c:pt>
                <c:pt idx="31">
                  <c:v>40.788755258126194</c:v>
                </c:pt>
                <c:pt idx="32">
                  <c:v>42.435403716216214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'Coût par patient'!$B$44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'Coût par patient'!$C$36:$AI$36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'Coût par patient'!$C$44:$AI$44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50.1105</c:v>
                </c:pt>
                <c:pt idx="21">
                  <c:v>61.42451923076923</c:v>
                </c:pt>
                <c:pt idx="22">
                  <c:v>60.916056</c:v>
                </c:pt>
                <c:pt idx="23">
                  <c:v>56.27863194444444</c:v>
                </c:pt>
                <c:pt idx="24">
                  <c:v>60.56750854700854</c:v>
                </c:pt>
                <c:pt idx="25">
                  <c:v>58.40204780876494</c:v>
                </c:pt>
                <c:pt idx="26">
                  <c:v>59.25136220472441</c:v>
                </c:pt>
                <c:pt idx="27">
                  <c:v>60.35665017667845</c:v>
                </c:pt>
                <c:pt idx="28">
                  <c:v>57.62773482428115</c:v>
                </c:pt>
                <c:pt idx="29">
                  <c:v>61.67713043478261</c:v>
                </c:pt>
                <c:pt idx="30">
                  <c:v>59.04963803680982</c:v>
                </c:pt>
                <c:pt idx="31">
                  <c:v>57.40089080459771</c:v>
                </c:pt>
                <c:pt idx="32">
                  <c:v>61.995033163265305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'Coût par patient'!$B$45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'Coût par patient'!$C$36:$AI$36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'Coût par patient'!$C$45:$AI$45</c:f>
              <c:numCache>
                <c:ptCount val="33"/>
                <c:pt idx="0">
                  <c:v>9.64259090909091</c:v>
                </c:pt>
                <c:pt idx="1">
                  <c:v>9.98557894736842</c:v>
                </c:pt>
                <c:pt idx="2">
                  <c:v>10.615736842105264</c:v>
                </c:pt>
                <c:pt idx="3">
                  <c:v>9.85811111111111</c:v>
                </c:pt>
                <c:pt idx="4">
                  <c:v>9.806457142857143</c:v>
                </c:pt>
                <c:pt idx="5">
                  <c:v>9.646263157894737</c:v>
                </c:pt>
                <c:pt idx="6">
                  <c:v>9.591675675675676</c:v>
                </c:pt>
                <c:pt idx="7">
                  <c:v>10.012923076923077</c:v>
                </c:pt>
                <c:pt idx="8">
                  <c:v>10.09688888888889</c:v>
                </c:pt>
                <c:pt idx="9">
                  <c:v>9.60729411764706</c:v>
                </c:pt>
                <c:pt idx="10">
                  <c:v>11.61995</c:v>
                </c:pt>
                <c:pt idx="11">
                  <c:v>9.96942105263158</c:v>
                </c:pt>
                <c:pt idx="12">
                  <c:v>9.882476190476192</c:v>
                </c:pt>
                <c:pt idx="13">
                  <c:v>10.211789473684211</c:v>
                </c:pt>
                <c:pt idx="14">
                  <c:v>9.809380952380954</c:v>
                </c:pt>
                <c:pt idx="15">
                  <c:v>10.558130434782608</c:v>
                </c:pt>
                <c:pt idx="16">
                  <c:v>10.80308108108108</c:v>
                </c:pt>
                <c:pt idx="17">
                  <c:v>10.731045454545454</c:v>
                </c:pt>
                <c:pt idx="18">
                  <c:v>9.99285</c:v>
                </c:pt>
                <c:pt idx="19">
                  <c:v>10.759619047619047</c:v>
                </c:pt>
                <c:pt idx="20">
                  <c:v>10.757791666666668</c:v>
                </c:pt>
                <c:pt idx="21">
                  <c:v>9.619333333333334</c:v>
                </c:pt>
                <c:pt idx="22">
                  <c:v>9.810045454545454</c:v>
                </c:pt>
                <c:pt idx="23">
                  <c:v>9.8854</c:v>
                </c:pt>
                <c:pt idx="24">
                  <c:v>10.728842105263158</c:v>
                </c:pt>
                <c:pt idx="25">
                  <c:v>10.0082</c:v>
                </c:pt>
                <c:pt idx="26">
                  <c:v>9.4863</c:v>
                </c:pt>
                <c:pt idx="27">
                  <c:v>10.46412765957447</c:v>
                </c:pt>
                <c:pt idx="28">
                  <c:v>9.517</c:v>
                </c:pt>
                <c:pt idx="29">
                  <c:v>10.125207547169811</c:v>
                </c:pt>
                <c:pt idx="30">
                  <c:v>9.580716981132076</c:v>
                </c:pt>
                <c:pt idx="31">
                  <c:v>10.087142857142858</c:v>
                </c:pt>
                <c:pt idx="32">
                  <c:v>10.838979591836734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'Coût par patient'!$B$46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'Coût par patient'!$C$36:$AI$36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'Coût par patient'!$C$46:$AI$46</c:f>
              <c:numCache>
                <c:ptCount val="33"/>
                <c:pt idx="0">
                  <c:v>8.140586975524476</c:v>
                </c:pt>
                <c:pt idx="1">
                  <c:v>8.675233350151363</c:v>
                </c:pt>
                <c:pt idx="2">
                  <c:v>8.433933201581027</c:v>
                </c:pt>
                <c:pt idx="3">
                  <c:v>8.41003107268306</c:v>
                </c:pt>
                <c:pt idx="4">
                  <c:v>8.344930515191546</c:v>
                </c:pt>
                <c:pt idx="5">
                  <c:v>8.372606223175966</c:v>
                </c:pt>
                <c:pt idx="6">
                  <c:v>8.49720563594821</c:v>
                </c:pt>
                <c:pt idx="7">
                  <c:v>8.562175842131724</c:v>
                </c:pt>
                <c:pt idx="8">
                  <c:v>8.398309388702605</c:v>
                </c:pt>
                <c:pt idx="9">
                  <c:v>8.32720796100731</c:v>
                </c:pt>
                <c:pt idx="10">
                  <c:v>8.713070533300566</c:v>
                </c:pt>
                <c:pt idx="11">
                  <c:v>8.594208023583697</c:v>
                </c:pt>
                <c:pt idx="12">
                  <c:v>8.620310413552566</c:v>
                </c:pt>
                <c:pt idx="13">
                  <c:v>8.591652446835766</c:v>
                </c:pt>
                <c:pt idx="14">
                  <c:v>8.51306802993852</c:v>
                </c:pt>
                <c:pt idx="15">
                  <c:v>8.788831693423097</c:v>
                </c:pt>
                <c:pt idx="16">
                  <c:v>8.608823023613963</c:v>
                </c:pt>
                <c:pt idx="17">
                  <c:v>8.453462396265559</c:v>
                </c:pt>
                <c:pt idx="18">
                  <c:v>8.585497359818959</c:v>
                </c:pt>
                <c:pt idx="19">
                  <c:v>8.626597665076575</c:v>
                </c:pt>
                <c:pt idx="20">
                  <c:v>8.426127116469985</c:v>
                </c:pt>
                <c:pt idx="21">
                  <c:v>8.255591910776673</c:v>
                </c:pt>
                <c:pt idx="22">
                  <c:v>8.450712447414006</c:v>
                </c:pt>
                <c:pt idx="23">
                  <c:v>7.961674136971047</c:v>
                </c:pt>
                <c:pt idx="24">
                  <c:v>8.006525532460868</c:v>
                </c:pt>
                <c:pt idx="25">
                  <c:v>7.5610919075144505</c:v>
                </c:pt>
                <c:pt idx="26">
                  <c:v>7.152432377378718</c:v>
                </c:pt>
                <c:pt idx="27">
                  <c:v>7.326932285493429</c:v>
                </c:pt>
                <c:pt idx="28">
                  <c:v>7.110505129589632</c:v>
                </c:pt>
                <c:pt idx="29">
                  <c:v>6.921460513203787</c:v>
                </c:pt>
                <c:pt idx="30">
                  <c:v>6.767160676810073</c:v>
                </c:pt>
                <c:pt idx="31">
                  <c:v>6.521029672395274</c:v>
                </c:pt>
                <c:pt idx="32">
                  <c:v>6.8912253433208495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'Coût par patient'!$B$47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'Coût par patient'!$C$36:$AI$36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'Coût par patient'!$C$47:$AI$47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25.035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'Coût par patient'!$B$49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'Coût par patient'!$C$36:$AI$36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'Coût par patient'!$C$49:$AI$49</c:f>
              <c:numCache>
                <c:ptCount val="33"/>
                <c:pt idx="0">
                  <c:v>23.1536182097711</c:v>
                </c:pt>
                <c:pt idx="1">
                  <c:v>25.165279774279774</c:v>
                </c:pt>
                <c:pt idx="2">
                  <c:v>24.1308703962704</c:v>
                </c:pt>
                <c:pt idx="3">
                  <c:v>24.622423957036116</c:v>
                </c:pt>
                <c:pt idx="4">
                  <c:v>24.63314228847955</c:v>
                </c:pt>
                <c:pt idx="5">
                  <c:v>23.999667452113105</c:v>
                </c:pt>
                <c:pt idx="6">
                  <c:v>24.424844479120225</c:v>
                </c:pt>
                <c:pt idx="7">
                  <c:v>24.805332597822886</c:v>
                </c:pt>
                <c:pt idx="8">
                  <c:v>24.246620610799646</c:v>
                </c:pt>
                <c:pt idx="9">
                  <c:v>23.563492853739877</c:v>
                </c:pt>
                <c:pt idx="10">
                  <c:v>25.077754105263157</c:v>
                </c:pt>
                <c:pt idx="11">
                  <c:v>24.145520932239965</c:v>
                </c:pt>
                <c:pt idx="12">
                  <c:v>24.302309025828187</c:v>
                </c:pt>
                <c:pt idx="13">
                  <c:v>23.658974571387407</c:v>
                </c:pt>
                <c:pt idx="14">
                  <c:v>22.824130872980582</c:v>
                </c:pt>
                <c:pt idx="15">
                  <c:v>23.727546955036996</c:v>
                </c:pt>
                <c:pt idx="16">
                  <c:v>23.276498638968484</c:v>
                </c:pt>
                <c:pt idx="17">
                  <c:v>22.66315716964801</c:v>
                </c:pt>
                <c:pt idx="18">
                  <c:v>23.134479090397072</c:v>
                </c:pt>
                <c:pt idx="19">
                  <c:v>22.87294066867635</c:v>
                </c:pt>
                <c:pt idx="20">
                  <c:v>22.4795930378862</c:v>
                </c:pt>
                <c:pt idx="21">
                  <c:v>21.9188557957348</c:v>
                </c:pt>
                <c:pt idx="22">
                  <c:v>22.68025170998632</c:v>
                </c:pt>
                <c:pt idx="23">
                  <c:v>21.738665773809526</c:v>
                </c:pt>
                <c:pt idx="24">
                  <c:v>23.005229543556915</c:v>
                </c:pt>
                <c:pt idx="25">
                  <c:v>22.604263334733304</c:v>
                </c:pt>
                <c:pt idx="26">
                  <c:v>21.2394947567725</c:v>
                </c:pt>
                <c:pt idx="27">
                  <c:v>20.65357226041813</c:v>
                </c:pt>
                <c:pt idx="28">
                  <c:v>19.407649877820905</c:v>
                </c:pt>
                <c:pt idx="29">
                  <c:v>19.4943339345807</c:v>
                </c:pt>
                <c:pt idx="30">
                  <c:v>18.823028188012792</c:v>
                </c:pt>
                <c:pt idx="31">
                  <c:v>18.421418727713593</c:v>
                </c:pt>
                <c:pt idx="32">
                  <c:v>19.281254312354314</c:v>
                </c:pt>
              </c:numCache>
            </c:numRef>
          </c:val>
          <c:smooth val="0"/>
        </c:ser>
        <c:marker val="1"/>
        <c:axId val="34712051"/>
        <c:axId val="43973004"/>
      </c:lineChart>
      <c:dateAx>
        <c:axId val="34712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73004"/>
        <c:crosses val="autoZero"/>
        <c:auto val="0"/>
        <c:noMultiLvlLbl val="0"/>
      </c:dateAx>
      <c:valAx>
        <c:axId val="43973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Coût moy par patient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47120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4825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Nombre de patient (mensuels) - Total panier 11 hypolipémiants 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- 549 médecins non visités au 16/01/2007</a:t>
            </a:r>
          </a:p>
        </c:rich>
      </c:tx>
      <c:layout>
        <c:manualLayout>
          <c:xMode val="factor"/>
          <c:yMode val="factor"/>
          <c:x val="-0.001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8"/>
          <c:w val="0.743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Req2!$B$108</c:f>
              <c:strCache>
                <c:ptCount val="1"/>
                <c:pt idx="0">
                  <c:v>Total panier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Req2!$C$108:$AI$108</c:f>
              <c:numCache>
                <c:ptCount val="33"/>
                <c:pt idx="0">
                  <c:v>3804</c:v>
                </c:pt>
                <c:pt idx="1">
                  <c:v>4356</c:v>
                </c:pt>
                <c:pt idx="2">
                  <c:v>4181</c:v>
                </c:pt>
                <c:pt idx="3">
                  <c:v>4192</c:v>
                </c:pt>
                <c:pt idx="4">
                  <c:v>4180</c:v>
                </c:pt>
                <c:pt idx="5">
                  <c:v>4193</c:v>
                </c:pt>
                <c:pt idx="6">
                  <c:v>4406</c:v>
                </c:pt>
                <c:pt idx="7">
                  <c:v>4379</c:v>
                </c:pt>
                <c:pt idx="8">
                  <c:v>4327</c:v>
                </c:pt>
                <c:pt idx="9">
                  <c:v>4073</c:v>
                </c:pt>
                <c:pt idx="10">
                  <c:v>4576</c:v>
                </c:pt>
                <c:pt idx="11">
                  <c:v>4485</c:v>
                </c:pt>
                <c:pt idx="12">
                  <c:v>4596</c:v>
                </c:pt>
                <c:pt idx="13">
                  <c:v>4589</c:v>
                </c:pt>
                <c:pt idx="14">
                  <c:v>4369</c:v>
                </c:pt>
                <c:pt idx="15">
                  <c:v>4504</c:v>
                </c:pt>
                <c:pt idx="16">
                  <c:v>4499</c:v>
                </c:pt>
                <c:pt idx="17">
                  <c:v>4411</c:v>
                </c:pt>
                <c:pt idx="18">
                  <c:v>4595</c:v>
                </c:pt>
                <c:pt idx="19">
                  <c:v>4602</c:v>
                </c:pt>
                <c:pt idx="20">
                  <c:v>4559</c:v>
                </c:pt>
                <c:pt idx="21">
                  <c:v>4434</c:v>
                </c:pt>
                <c:pt idx="22">
                  <c:v>4754</c:v>
                </c:pt>
                <c:pt idx="23">
                  <c:v>4294</c:v>
                </c:pt>
                <c:pt idx="24">
                  <c:v>4795</c:v>
                </c:pt>
                <c:pt idx="25">
                  <c:v>4719</c:v>
                </c:pt>
                <c:pt idx="26">
                  <c:v>4522</c:v>
                </c:pt>
                <c:pt idx="27">
                  <c:v>4734</c:v>
                </c:pt>
                <c:pt idx="28">
                  <c:v>4624</c:v>
                </c:pt>
                <c:pt idx="29">
                  <c:v>4894</c:v>
                </c:pt>
                <c:pt idx="30">
                  <c:v>4752</c:v>
                </c:pt>
                <c:pt idx="31">
                  <c:v>4612</c:v>
                </c:pt>
                <c:pt idx="32">
                  <c:v>5096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Req2!$B$109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Req2!$C$109:$AI$109</c:f>
              <c:numCache>
                <c:ptCount val="33"/>
                <c:pt idx="0">
                  <c:v>1751</c:v>
                </c:pt>
                <c:pt idx="1">
                  <c:v>1969</c:v>
                </c:pt>
                <c:pt idx="2">
                  <c:v>1943</c:v>
                </c:pt>
                <c:pt idx="3">
                  <c:v>1932</c:v>
                </c:pt>
                <c:pt idx="4">
                  <c:v>1875</c:v>
                </c:pt>
                <c:pt idx="5">
                  <c:v>1914</c:v>
                </c:pt>
                <c:pt idx="6">
                  <c:v>1996</c:v>
                </c:pt>
                <c:pt idx="7">
                  <c:v>1993</c:v>
                </c:pt>
                <c:pt idx="8">
                  <c:v>1932</c:v>
                </c:pt>
                <c:pt idx="9">
                  <c:v>1781</c:v>
                </c:pt>
                <c:pt idx="10">
                  <c:v>2024</c:v>
                </c:pt>
                <c:pt idx="11">
                  <c:v>1951</c:v>
                </c:pt>
                <c:pt idx="12">
                  <c:v>2002</c:v>
                </c:pt>
                <c:pt idx="13">
                  <c:v>1990</c:v>
                </c:pt>
                <c:pt idx="14">
                  <c:v>1928</c:v>
                </c:pt>
                <c:pt idx="15">
                  <c:v>1978</c:v>
                </c:pt>
                <c:pt idx="16">
                  <c:v>1925</c:v>
                </c:pt>
                <c:pt idx="17">
                  <c:v>1884</c:v>
                </c:pt>
                <c:pt idx="18">
                  <c:v>1987</c:v>
                </c:pt>
                <c:pt idx="19">
                  <c:v>2022</c:v>
                </c:pt>
                <c:pt idx="20">
                  <c:v>1957</c:v>
                </c:pt>
                <c:pt idx="21">
                  <c:v>1897</c:v>
                </c:pt>
                <c:pt idx="22">
                  <c:v>1982</c:v>
                </c:pt>
                <c:pt idx="23">
                  <c:v>1796</c:v>
                </c:pt>
                <c:pt idx="24">
                  <c:v>1981</c:v>
                </c:pt>
                <c:pt idx="25">
                  <c:v>1902</c:v>
                </c:pt>
                <c:pt idx="26">
                  <c:v>1852</c:v>
                </c:pt>
                <c:pt idx="27">
                  <c:v>1921</c:v>
                </c:pt>
                <c:pt idx="28">
                  <c:v>1847</c:v>
                </c:pt>
                <c:pt idx="29">
                  <c:v>1965</c:v>
                </c:pt>
                <c:pt idx="30">
                  <c:v>1904</c:v>
                </c:pt>
                <c:pt idx="31">
                  <c:v>1866</c:v>
                </c:pt>
                <c:pt idx="32">
                  <c:v>2073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Req2!$B$110</c:f>
              <c:strCache>
                <c:ptCount val="1"/>
                <c:pt idx="0">
                  <c:v>Statines "stricto sensu"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Req2!$C$110:$AI$110</c:f>
              <c:numCache>
                <c:ptCount val="33"/>
                <c:pt idx="0">
                  <c:v>2811</c:v>
                </c:pt>
                <c:pt idx="1">
                  <c:v>3181</c:v>
                </c:pt>
                <c:pt idx="2">
                  <c:v>3121</c:v>
                </c:pt>
                <c:pt idx="3">
                  <c:v>3108</c:v>
                </c:pt>
                <c:pt idx="4">
                  <c:v>3071</c:v>
                </c:pt>
                <c:pt idx="5">
                  <c:v>3114</c:v>
                </c:pt>
                <c:pt idx="6">
                  <c:v>3246</c:v>
                </c:pt>
                <c:pt idx="7">
                  <c:v>3238</c:v>
                </c:pt>
                <c:pt idx="8">
                  <c:v>3209</c:v>
                </c:pt>
                <c:pt idx="9">
                  <c:v>3013</c:v>
                </c:pt>
                <c:pt idx="10">
                  <c:v>3358</c:v>
                </c:pt>
                <c:pt idx="11">
                  <c:v>3335</c:v>
                </c:pt>
                <c:pt idx="12">
                  <c:v>3393</c:v>
                </c:pt>
                <c:pt idx="13">
                  <c:v>3400</c:v>
                </c:pt>
                <c:pt idx="14">
                  <c:v>3232</c:v>
                </c:pt>
                <c:pt idx="15">
                  <c:v>3320</c:v>
                </c:pt>
                <c:pt idx="16">
                  <c:v>3272</c:v>
                </c:pt>
                <c:pt idx="17">
                  <c:v>3199</c:v>
                </c:pt>
                <c:pt idx="18">
                  <c:v>3357</c:v>
                </c:pt>
                <c:pt idx="19">
                  <c:v>3344</c:v>
                </c:pt>
                <c:pt idx="20">
                  <c:v>3345</c:v>
                </c:pt>
                <c:pt idx="21">
                  <c:v>3230</c:v>
                </c:pt>
                <c:pt idx="22">
                  <c:v>3460</c:v>
                </c:pt>
                <c:pt idx="23">
                  <c:v>3148</c:v>
                </c:pt>
                <c:pt idx="24">
                  <c:v>3505</c:v>
                </c:pt>
                <c:pt idx="25">
                  <c:v>3427</c:v>
                </c:pt>
                <c:pt idx="26">
                  <c:v>3313</c:v>
                </c:pt>
                <c:pt idx="27">
                  <c:v>3443</c:v>
                </c:pt>
                <c:pt idx="28">
                  <c:v>3359</c:v>
                </c:pt>
                <c:pt idx="29">
                  <c:v>3541</c:v>
                </c:pt>
                <c:pt idx="30">
                  <c:v>3439</c:v>
                </c:pt>
                <c:pt idx="31">
                  <c:v>3358</c:v>
                </c:pt>
                <c:pt idx="32">
                  <c:v>3723</c:v>
                </c:pt>
              </c:numCache>
            </c:numRef>
          </c:val>
          <c:smooth val="0"/>
        </c:ser>
        <c:marker val="1"/>
        <c:axId val="16295881"/>
        <c:axId val="12445202"/>
      </c:lineChart>
      <c:dateAx>
        <c:axId val="16295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45202"/>
        <c:crosses val="autoZero"/>
        <c:auto val="0"/>
        <c:noMultiLvlLbl val="0"/>
      </c:dateAx>
      <c:valAx>
        <c:axId val="124452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Nombre de patients (mensuel)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Arial"/>
                <a:ea typeface="Arial"/>
                <a:cs typeface="Arial"/>
              </a:defRPr>
            </a:pPr>
          </a:p>
        </c:txPr>
        <c:crossAx val="162958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46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Cumuls annuels des montants remboursés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- 549 médecins non visités au 16/01/2007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20025"/>
          <c:w val="0.75375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Req1!$B$97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Req1!$C$97:$X$97</c:f>
              <c:numCache>
                <c:ptCount val="22"/>
                <c:pt idx="0">
                  <c:v>174035.458</c:v>
                </c:pt>
                <c:pt idx="1">
                  <c:v>176212.62</c:v>
                </c:pt>
                <c:pt idx="2">
                  <c:v>173647.673</c:v>
                </c:pt>
                <c:pt idx="3">
                  <c:v>172082.26750000002</c:v>
                </c:pt>
                <c:pt idx="4">
                  <c:v>171086.705</c:v>
                </c:pt>
                <c:pt idx="5">
                  <c:v>169557.078</c:v>
                </c:pt>
                <c:pt idx="6">
                  <c:v>168108.3355</c:v>
                </c:pt>
                <c:pt idx="7">
                  <c:v>167247.202</c:v>
                </c:pt>
                <c:pt idx="8">
                  <c:v>166213.332</c:v>
                </c:pt>
                <c:pt idx="9">
                  <c:v>165467.404</c:v>
                </c:pt>
                <c:pt idx="10">
                  <c:v>164449.997</c:v>
                </c:pt>
                <c:pt idx="11">
                  <c:v>162334.1875</c:v>
                </c:pt>
                <c:pt idx="12">
                  <c:v>159651.103</c:v>
                </c:pt>
                <c:pt idx="13">
                  <c:v>158605.24</c:v>
                </c:pt>
                <c:pt idx="14">
                  <c:v>158410.8605</c:v>
                </c:pt>
                <c:pt idx="15">
                  <c:v>158228.23700000002</c:v>
                </c:pt>
                <c:pt idx="16">
                  <c:v>157358.00400000002</c:v>
                </c:pt>
                <c:pt idx="17">
                  <c:v>156706.66749999998</c:v>
                </c:pt>
                <c:pt idx="18">
                  <c:v>157396.2</c:v>
                </c:pt>
                <c:pt idx="19">
                  <c:v>155648.5</c:v>
                </c:pt>
                <c:pt idx="20">
                  <c:v>153907.2555</c:v>
                </c:pt>
                <c:pt idx="21">
                  <c:v>154109.7035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Req1!$B$98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Req1!$C$98:$X$98</c:f>
              <c:numCache>
                <c:ptCount val="22"/>
                <c:pt idx="0">
                  <c:v>385717.3245</c:v>
                </c:pt>
                <c:pt idx="1">
                  <c:v>391663.7735</c:v>
                </c:pt>
                <c:pt idx="2">
                  <c:v>391964.74</c:v>
                </c:pt>
                <c:pt idx="3">
                  <c:v>390067.8305</c:v>
                </c:pt>
                <c:pt idx="4">
                  <c:v>390956.819</c:v>
                </c:pt>
                <c:pt idx="5">
                  <c:v>390594.3915</c:v>
                </c:pt>
                <c:pt idx="6">
                  <c:v>388601.9225</c:v>
                </c:pt>
                <c:pt idx="7">
                  <c:v>386090.917</c:v>
                </c:pt>
                <c:pt idx="8">
                  <c:v>383978.85250000004</c:v>
                </c:pt>
                <c:pt idx="9">
                  <c:v>381613.4545</c:v>
                </c:pt>
                <c:pt idx="10">
                  <c:v>381943.88049999997</c:v>
                </c:pt>
                <c:pt idx="11">
                  <c:v>377664.793</c:v>
                </c:pt>
                <c:pt idx="12">
                  <c:v>371971.29099999997</c:v>
                </c:pt>
                <c:pt idx="13">
                  <c:v>370334.5025</c:v>
                </c:pt>
                <c:pt idx="14">
                  <c:v>365732.75</c:v>
                </c:pt>
                <c:pt idx="15">
                  <c:v>361902.9315</c:v>
                </c:pt>
                <c:pt idx="16">
                  <c:v>354829.4575</c:v>
                </c:pt>
                <c:pt idx="17">
                  <c:v>346598.3765</c:v>
                </c:pt>
                <c:pt idx="18">
                  <c:v>341316.1032</c:v>
                </c:pt>
                <c:pt idx="19">
                  <c:v>332344.43090000004</c:v>
                </c:pt>
                <c:pt idx="20">
                  <c:v>321438.7328</c:v>
                </c:pt>
                <c:pt idx="21">
                  <c:v>316310.483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Req1!$B$99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Req1!$C$99:$X$99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120.949</c:v>
                </c:pt>
                <c:pt idx="15">
                  <c:v>313.855</c:v>
                </c:pt>
                <c:pt idx="16">
                  <c:v>669.047</c:v>
                </c:pt>
                <c:pt idx="17">
                  <c:v>1002.805</c:v>
                </c:pt>
                <c:pt idx="18">
                  <c:v>1794.332</c:v>
                </c:pt>
                <c:pt idx="19">
                  <c:v>2463.379</c:v>
                </c:pt>
                <c:pt idx="20">
                  <c:v>3453.139</c:v>
                </c:pt>
                <c:pt idx="21">
                  <c:v>4671.9567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Req1!$B$100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Req1!$C$100:$X$100</c:f>
              <c:numCache>
                <c:ptCount val="22"/>
                <c:pt idx="0">
                  <c:v>55645.510500000004</c:v>
                </c:pt>
                <c:pt idx="1">
                  <c:v>56194.867</c:v>
                </c:pt>
                <c:pt idx="2">
                  <c:v>56004.8965</c:v>
                </c:pt>
                <c:pt idx="3">
                  <c:v>55737.318</c:v>
                </c:pt>
                <c:pt idx="4">
                  <c:v>56027.159499999994</c:v>
                </c:pt>
                <c:pt idx="5">
                  <c:v>56052.552500000005</c:v>
                </c:pt>
                <c:pt idx="6">
                  <c:v>56231.7295</c:v>
                </c:pt>
                <c:pt idx="7">
                  <c:v>56193.3085</c:v>
                </c:pt>
                <c:pt idx="8">
                  <c:v>56212.176999999996</c:v>
                </c:pt>
                <c:pt idx="9">
                  <c:v>56438.261</c:v>
                </c:pt>
                <c:pt idx="10">
                  <c:v>55890.4975</c:v>
                </c:pt>
                <c:pt idx="11">
                  <c:v>55823.834</c:v>
                </c:pt>
                <c:pt idx="12">
                  <c:v>54590.043999999994</c:v>
                </c:pt>
                <c:pt idx="13">
                  <c:v>54553.82</c:v>
                </c:pt>
                <c:pt idx="14">
                  <c:v>54334.922999999995</c:v>
                </c:pt>
                <c:pt idx="15">
                  <c:v>53897.903</c:v>
                </c:pt>
                <c:pt idx="16">
                  <c:v>53448.345799999996</c:v>
                </c:pt>
                <c:pt idx="17">
                  <c:v>53324.1911</c:v>
                </c:pt>
                <c:pt idx="18">
                  <c:v>53235.29489999999</c:v>
                </c:pt>
                <c:pt idx="19">
                  <c:v>53097.55439999999</c:v>
                </c:pt>
                <c:pt idx="20">
                  <c:v>52699.4804</c:v>
                </c:pt>
                <c:pt idx="21">
                  <c:v>52480.0686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Req1!$B$101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Req1!$C$101:$X$101</c:f>
              <c:numCache>
                <c:ptCount val="22"/>
                <c:pt idx="0">
                  <c:v>320868.8065</c:v>
                </c:pt>
                <c:pt idx="1">
                  <c:v>326697.60099999997</c:v>
                </c:pt>
                <c:pt idx="2">
                  <c:v>328382.73949999997</c:v>
                </c:pt>
                <c:pt idx="3">
                  <c:v>330458.333</c:v>
                </c:pt>
                <c:pt idx="4">
                  <c:v>332050.18600000005</c:v>
                </c:pt>
                <c:pt idx="5">
                  <c:v>333984.0785</c:v>
                </c:pt>
                <c:pt idx="6">
                  <c:v>335228.5015</c:v>
                </c:pt>
                <c:pt idx="7">
                  <c:v>336718.08849999995</c:v>
                </c:pt>
                <c:pt idx="8">
                  <c:v>335522.968</c:v>
                </c:pt>
                <c:pt idx="9">
                  <c:v>336119.9805</c:v>
                </c:pt>
                <c:pt idx="10">
                  <c:v>336422.92350000003</c:v>
                </c:pt>
                <c:pt idx="11">
                  <c:v>335507.221</c:v>
                </c:pt>
                <c:pt idx="12">
                  <c:v>331583.86449999997</c:v>
                </c:pt>
                <c:pt idx="13">
                  <c:v>331362.732</c:v>
                </c:pt>
                <c:pt idx="14">
                  <c:v>327795.8545</c:v>
                </c:pt>
                <c:pt idx="15">
                  <c:v>325116.94949999993</c:v>
                </c:pt>
                <c:pt idx="16">
                  <c:v>322768.41899999994</c:v>
                </c:pt>
                <c:pt idx="17">
                  <c:v>319187.39699999994</c:v>
                </c:pt>
                <c:pt idx="18">
                  <c:v>319644.8075</c:v>
                </c:pt>
                <c:pt idx="19">
                  <c:v>315337.93769999995</c:v>
                </c:pt>
                <c:pt idx="20">
                  <c:v>311314.7358</c:v>
                </c:pt>
                <c:pt idx="21">
                  <c:v>309314.8642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Req1!$B$102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Req1!$C$102:$X$102</c:f>
              <c:numCache>
                <c:ptCount val="22"/>
                <c:pt idx="0">
                  <c:v>42358.99800000001</c:v>
                </c:pt>
                <c:pt idx="1">
                  <c:v>46119.1905</c:v>
                </c:pt>
                <c:pt idx="2">
                  <c:v>48311.622</c:v>
                </c:pt>
                <c:pt idx="3">
                  <c:v>49562.979</c:v>
                </c:pt>
                <c:pt idx="4">
                  <c:v>52123.827000000005</c:v>
                </c:pt>
                <c:pt idx="5">
                  <c:v>53915.004</c:v>
                </c:pt>
                <c:pt idx="6">
                  <c:v>56043.478500000005</c:v>
                </c:pt>
                <c:pt idx="7">
                  <c:v>58058.202</c:v>
                </c:pt>
                <c:pt idx="8">
                  <c:v>60911.865000000005</c:v>
                </c:pt>
                <c:pt idx="9">
                  <c:v>63668.2065</c:v>
                </c:pt>
                <c:pt idx="10">
                  <c:v>66940.4655</c:v>
                </c:pt>
                <c:pt idx="11">
                  <c:v>70873.0755</c:v>
                </c:pt>
                <c:pt idx="12">
                  <c:v>73985.4765</c:v>
                </c:pt>
                <c:pt idx="13">
                  <c:v>77979.321</c:v>
                </c:pt>
                <c:pt idx="14">
                  <c:v>81913.4625</c:v>
                </c:pt>
                <c:pt idx="15">
                  <c:v>85822.6311</c:v>
                </c:pt>
                <c:pt idx="16">
                  <c:v>89828.1642</c:v>
                </c:pt>
                <c:pt idx="17">
                  <c:v>93577.166</c:v>
                </c:pt>
                <c:pt idx="18">
                  <c:v>99132.4062</c:v>
                </c:pt>
                <c:pt idx="19">
                  <c:v>103184.2825</c:v>
                </c:pt>
                <c:pt idx="20">
                  <c:v>106843.7733</c:v>
                </c:pt>
                <c:pt idx="21">
                  <c:v>112071.94649999999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Req1!$B$103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Req1!$C$103:$X$103</c:f>
              <c:numCache>
                <c:ptCount val="22"/>
                <c:pt idx="0">
                  <c:v>3487.003</c:v>
                </c:pt>
                <c:pt idx="1">
                  <c:v>5456.0545</c:v>
                </c:pt>
                <c:pt idx="2">
                  <c:v>8385.949</c:v>
                </c:pt>
                <c:pt idx="3">
                  <c:v>11004.5845</c:v>
                </c:pt>
                <c:pt idx="4">
                  <c:v>14297.6145</c:v>
                </c:pt>
                <c:pt idx="5">
                  <c:v>18546.9765</c:v>
                </c:pt>
                <c:pt idx="6">
                  <c:v>22913.6245</c:v>
                </c:pt>
                <c:pt idx="7">
                  <c:v>27160.731</c:v>
                </c:pt>
                <c:pt idx="8">
                  <c:v>32271.694</c:v>
                </c:pt>
                <c:pt idx="9">
                  <c:v>37569.8635</c:v>
                </c:pt>
                <c:pt idx="10">
                  <c:v>43192.825</c:v>
                </c:pt>
                <c:pt idx="11">
                  <c:v>48457.162</c:v>
                </c:pt>
                <c:pt idx="12">
                  <c:v>51849.434</c:v>
                </c:pt>
                <c:pt idx="13">
                  <c:v>56083.0075</c:v>
                </c:pt>
                <c:pt idx="14">
                  <c:v>59416.6365</c:v>
                </c:pt>
                <c:pt idx="15">
                  <c:v>62761.543</c:v>
                </c:pt>
                <c:pt idx="16">
                  <c:v>65441.077</c:v>
                </c:pt>
                <c:pt idx="17">
                  <c:v>66999.6275</c:v>
                </c:pt>
                <c:pt idx="18">
                  <c:v>69848.324</c:v>
                </c:pt>
                <c:pt idx="19">
                  <c:v>72397.039</c:v>
                </c:pt>
                <c:pt idx="20">
                  <c:v>72843.628</c:v>
                </c:pt>
                <c:pt idx="21">
                  <c:v>74332.258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Req1!$B$104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Req1!$C$104:$X$104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121.48</c:v>
                </c:pt>
                <c:pt idx="10">
                  <c:v>1076.779</c:v>
                </c:pt>
                <c:pt idx="11">
                  <c:v>2944.42</c:v>
                </c:pt>
                <c:pt idx="12">
                  <c:v>4765.37</c:v>
                </c:pt>
                <c:pt idx="13">
                  <c:v>7784.556</c:v>
                </c:pt>
                <c:pt idx="14">
                  <c:v>10898.494999999999</c:v>
                </c:pt>
                <c:pt idx="15">
                  <c:v>14589.387999999999</c:v>
                </c:pt>
                <c:pt idx="16">
                  <c:v>18410.781000000003</c:v>
                </c:pt>
                <c:pt idx="17">
                  <c:v>22468.453999999998</c:v>
                </c:pt>
                <c:pt idx="18">
                  <c:v>27566.439</c:v>
                </c:pt>
                <c:pt idx="19">
                  <c:v>31640.486</c:v>
                </c:pt>
                <c:pt idx="20">
                  <c:v>35433.463</c:v>
                </c:pt>
                <c:pt idx="21">
                  <c:v>40579.070999999996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Req1!$B$105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Req1!$C$105:$X$105</c:f>
              <c:numCache>
                <c:ptCount val="22"/>
                <c:pt idx="0">
                  <c:v>1043.8</c:v>
                </c:pt>
                <c:pt idx="1">
                  <c:v>1156.776</c:v>
                </c:pt>
                <c:pt idx="2">
                  <c:v>1173.968</c:v>
                </c:pt>
                <c:pt idx="3">
                  <c:v>1223.088</c:v>
                </c:pt>
                <c:pt idx="4">
                  <c:v>1313.346</c:v>
                </c:pt>
                <c:pt idx="5">
                  <c:v>1410.972</c:v>
                </c:pt>
                <c:pt idx="6">
                  <c:v>1432.462</c:v>
                </c:pt>
                <c:pt idx="7">
                  <c:v>1425.094</c:v>
                </c:pt>
                <c:pt idx="8">
                  <c:v>1465.618</c:v>
                </c:pt>
                <c:pt idx="9">
                  <c:v>1506.142</c:v>
                </c:pt>
                <c:pt idx="10">
                  <c:v>1558.946</c:v>
                </c:pt>
                <c:pt idx="11">
                  <c:v>1534.386</c:v>
                </c:pt>
                <c:pt idx="12">
                  <c:v>1550.964</c:v>
                </c:pt>
                <c:pt idx="13">
                  <c:v>1522.72</c:v>
                </c:pt>
                <c:pt idx="14">
                  <c:v>1550.35</c:v>
                </c:pt>
                <c:pt idx="15">
                  <c:v>1537.456</c:v>
                </c:pt>
                <c:pt idx="16">
                  <c:v>1547.894</c:v>
                </c:pt>
                <c:pt idx="17">
                  <c:v>1530.702</c:v>
                </c:pt>
                <c:pt idx="18">
                  <c:v>1594.558</c:v>
                </c:pt>
                <c:pt idx="19">
                  <c:v>1654.73</c:v>
                </c:pt>
                <c:pt idx="20">
                  <c:v>1643.064</c:v>
                </c:pt>
                <c:pt idx="21">
                  <c:v>1633.854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Req1!$B$106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Req1!$C$106:$X$106</c:f>
              <c:numCache>
                <c:ptCount val="22"/>
                <c:pt idx="0">
                  <c:v>111189.51199999999</c:v>
                </c:pt>
                <c:pt idx="1">
                  <c:v>113005.5575</c:v>
                </c:pt>
                <c:pt idx="2">
                  <c:v>112478.44449999998</c:v>
                </c:pt>
                <c:pt idx="3">
                  <c:v>112677.3485</c:v>
                </c:pt>
                <c:pt idx="4">
                  <c:v>113054.287</c:v>
                </c:pt>
                <c:pt idx="5">
                  <c:v>113634.1295</c:v>
                </c:pt>
                <c:pt idx="6">
                  <c:v>113805.98</c:v>
                </c:pt>
                <c:pt idx="7">
                  <c:v>113508.092</c:v>
                </c:pt>
                <c:pt idx="8">
                  <c:v>113465.5225</c:v>
                </c:pt>
                <c:pt idx="9">
                  <c:v>113334.3345</c:v>
                </c:pt>
                <c:pt idx="10">
                  <c:v>113146.6705</c:v>
                </c:pt>
                <c:pt idx="11">
                  <c:v>112171.96899999998</c:v>
                </c:pt>
                <c:pt idx="12">
                  <c:v>110441.57449999999</c:v>
                </c:pt>
                <c:pt idx="13">
                  <c:v>109432.786</c:v>
                </c:pt>
                <c:pt idx="14">
                  <c:v>108224.25700000001</c:v>
                </c:pt>
                <c:pt idx="15">
                  <c:v>106311.31349999999</c:v>
                </c:pt>
                <c:pt idx="16">
                  <c:v>104676.06</c:v>
                </c:pt>
                <c:pt idx="17">
                  <c:v>102457.252</c:v>
                </c:pt>
                <c:pt idx="18">
                  <c:v>100897.2825</c:v>
                </c:pt>
                <c:pt idx="19">
                  <c:v>98318.69649999999</c:v>
                </c:pt>
                <c:pt idx="20">
                  <c:v>95353.322</c:v>
                </c:pt>
                <c:pt idx="21">
                  <c:v>93603.50149999998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Req1!$B$107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Req1!$C$107:$X$107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120.168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Req1!$B$109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Req1!$C$96:$X$96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Req1!$C$109:$X$109</c:f>
              <c:numCache>
                <c:ptCount val="22"/>
                <c:pt idx="0">
                  <c:v>559752.7825</c:v>
                </c:pt>
                <c:pt idx="1">
                  <c:v>567876.3935</c:v>
                </c:pt>
                <c:pt idx="2">
                  <c:v>565612.413</c:v>
                </c:pt>
                <c:pt idx="3">
                  <c:v>562150.098</c:v>
                </c:pt>
                <c:pt idx="4">
                  <c:v>562043.524</c:v>
                </c:pt>
                <c:pt idx="5">
                  <c:v>560151.4695</c:v>
                </c:pt>
                <c:pt idx="6">
                  <c:v>556710.2579999999</c:v>
                </c:pt>
                <c:pt idx="7">
                  <c:v>553338.119</c:v>
                </c:pt>
                <c:pt idx="8">
                  <c:v>550192.1845</c:v>
                </c:pt>
                <c:pt idx="9">
                  <c:v>547080.8585</c:v>
                </c:pt>
                <c:pt idx="10">
                  <c:v>546393.8775</c:v>
                </c:pt>
                <c:pt idx="11">
                  <c:v>539998.9805000001</c:v>
                </c:pt>
                <c:pt idx="12">
                  <c:v>531622.394</c:v>
                </c:pt>
                <c:pt idx="13">
                  <c:v>528939.7424999999</c:v>
                </c:pt>
                <c:pt idx="14">
                  <c:v>524264.55950000003</c:v>
                </c:pt>
                <c:pt idx="15">
                  <c:v>520445.0235</c:v>
                </c:pt>
                <c:pt idx="16">
                  <c:v>512856.50850000005</c:v>
                </c:pt>
                <c:pt idx="17">
                  <c:v>504307.849</c:v>
                </c:pt>
                <c:pt idx="18">
                  <c:v>500506.6352</c:v>
                </c:pt>
                <c:pt idx="19">
                  <c:v>490456.30990000005</c:v>
                </c:pt>
                <c:pt idx="20">
                  <c:v>478799.1273</c:v>
                </c:pt>
                <c:pt idx="21">
                  <c:v>475092.1432</c:v>
                </c:pt>
              </c:numCache>
            </c:numRef>
          </c:val>
          <c:smooth val="0"/>
        </c:ser>
        <c:marker val="1"/>
        <c:axId val="44897955"/>
        <c:axId val="1428412"/>
      </c:lineChart>
      <c:dateAx>
        <c:axId val="44897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28412"/>
        <c:crosses val="autoZero"/>
        <c:auto val="0"/>
        <c:noMultiLvlLbl val="0"/>
      </c:dateAx>
      <c:valAx>
        <c:axId val="1428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Montant cumulé annuel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48979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3475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% Cumuls annuels des montants remboursés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- 549 médecins non visités au 16/01/2007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995"/>
          <c:w val="0.7535"/>
          <c:h val="0.7405"/>
        </c:manualLayout>
      </c:layout>
      <c:lineChart>
        <c:grouping val="standard"/>
        <c:varyColors val="0"/>
        <c:ser>
          <c:idx val="0"/>
          <c:order val="0"/>
          <c:tx>
            <c:strRef>
              <c:f>Req1!$B$115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Req1!$C$115:$X$115</c:f>
              <c:numCache>
                <c:ptCount val="22"/>
                <c:pt idx="0">
                  <c:v>0.15903141456133754</c:v>
                </c:pt>
                <c:pt idx="1">
                  <c:v>0.15782499203497652</c:v>
                </c:pt>
                <c:pt idx="2">
                  <c:v>0.15499412501690632</c:v>
                </c:pt>
                <c:pt idx="3">
                  <c:v>0.15325985066825185</c:v>
                </c:pt>
                <c:pt idx="4">
                  <c:v>0.15128234207126218</c:v>
                </c:pt>
                <c:pt idx="5">
                  <c:v>0.14903559460224755</c:v>
                </c:pt>
                <c:pt idx="6">
                  <c:v>0.1471580303480907</c:v>
                </c:pt>
                <c:pt idx="7">
                  <c:v>0.14588883764109425</c:v>
                </c:pt>
                <c:pt idx="8">
                  <c:v>0.14452805011354936</c:v>
                </c:pt>
                <c:pt idx="9">
                  <c:v>0.14315781513734732</c:v>
                </c:pt>
                <c:pt idx="10">
                  <c:v>0.14120449208771388</c:v>
                </c:pt>
                <c:pt idx="11">
                  <c:v>0.1390667789687535</c:v>
                </c:pt>
                <c:pt idx="12">
                  <c:v>0.13758410867694437</c:v>
                </c:pt>
                <c:pt idx="13">
                  <c:v>0.13583185055485625</c:v>
                </c:pt>
                <c:pt idx="14">
                  <c:v>0.13557947510886048</c:v>
                </c:pt>
                <c:pt idx="15">
                  <c:v>0.1351820950140174</c:v>
                </c:pt>
                <c:pt idx="16">
                  <c:v>0.1346116907470234</c:v>
                </c:pt>
                <c:pt idx="17">
                  <c:v>0.13464476713177595</c:v>
                </c:pt>
                <c:pt idx="18">
                  <c:v>0.13424833117361207</c:v>
                </c:pt>
                <c:pt idx="19">
                  <c:v>0.13347931603280427</c:v>
                </c:pt>
                <c:pt idx="20">
                  <c:v>0.13326104298060718</c:v>
                </c:pt>
                <c:pt idx="21">
                  <c:v>0.1329416819794814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Req1!$B$116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Req1!$C$116:$X$116</c:f>
              <c:numCache>
                <c:ptCount val="22"/>
                <c:pt idx="0">
                  <c:v>0.35246364413882514</c:v>
                </c:pt>
                <c:pt idx="1">
                  <c:v>0.35079401198975624</c:v>
                </c:pt>
                <c:pt idx="2">
                  <c:v>0.34985917671225675</c:v>
                </c:pt>
                <c:pt idx="3">
                  <c:v>0.34740207879303403</c:v>
                </c:pt>
                <c:pt idx="4">
                  <c:v>0.3457011065064965</c:v>
                </c:pt>
                <c:pt idx="5">
                  <c:v>0.34332077476297135</c:v>
                </c:pt>
                <c:pt idx="6">
                  <c:v>0.34017286135452446</c:v>
                </c:pt>
                <c:pt idx="7">
                  <c:v>0.33678503694736966</c:v>
                </c:pt>
                <c:pt idx="8">
                  <c:v>0.3338824519603709</c:v>
                </c:pt>
                <c:pt idx="9">
                  <c:v>0.3301613916251173</c:v>
                </c:pt>
                <c:pt idx="10">
                  <c:v>0.3279549567399079</c:v>
                </c:pt>
                <c:pt idx="11">
                  <c:v>0.32353398320616256</c:v>
                </c:pt>
                <c:pt idx="12">
                  <c:v>0.3205573752011428</c:v>
                </c:pt>
                <c:pt idx="13">
                  <c:v>0.3171598920621226</c:v>
                </c:pt>
                <c:pt idx="14">
                  <c:v>0.3130205474461146</c:v>
                </c:pt>
                <c:pt idx="15">
                  <c:v>0.30919131375953096</c:v>
                </c:pt>
                <c:pt idx="16">
                  <c:v>0.30353837737369926</c:v>
                </c:pt>
                <c:pt idx="17">
                  <c:v>0.2978026298216961</c:v>
                </c:pt>
                <c:pt idx="18">
                  <c:v>0.2911195902904921</c:v>
                </c:pt>
                <c:pt idx="19">
                  <c:v>0.2850082546496984</c:v>
                </c:pt>
                <c:pt idx="20">
                  <c:v>0.27831865787050375</c:v>
                </c:pt>
                <c:pt idx="21">
                  <c:v>0.27286307534659654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Req1!$B$117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Req1!$C$117:$X$117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0.00010351690460605487</c:v>
                </c:pt>
                <c:pt idx="15">
                  <c:v>0.0002681416239923373</c:v>
                </c:pt>
                <c:pt idx="16">
                  <c:v>0.0005723353472329488</c:v>
                </c:pt>
                <c:pt idx="17">
                  <c:v>0.000861625404059981</c:v>
                </c:pt>
                <c:pt idx="18">
                  <c:v>0.0015304440423047677</c:v>
                </c:pt>
                <c:pt idx="19">
                  <c:v>0.002112517268393678</c:v>
                </c:pt>
                <c:pt idx="20">
                  <c:v>0.002989910405471501</c:v>
                </c:pt>
                <c:pt idx="21">
                  <c:v>0.0040302315021539655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Req1!$B$118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Req1!$C$118:$X$118</c:f>
              <c:numCache>
                <c:ptCount val="22"/>
                <c:pt idx="0">
                  <c:v>0.050848168243983714</c:v>
                </c:pt>
                <c:pt idx="1">
                  <c:v>0.05033098331255483</c:v>
                </c:pt>
                <c:pt idx="2">
                  <c:v>0.049988748940389766</c:v>
                </c:pt>
                <c:pt idx="3">
                  <c:v>0.04964075123736305</c:v>
                </c:pt>
                <c:pt idx="4">
                  <c:v>0.04954166315120843</c:v>
                </c:pt>
                <c:pt idx="5">
                  <c:v>0.049268515294956884</c:v>
                </c:pt>
                <c:pt idx="6">
                  <c:v>0.04922391582591469</c:v>
                </c:pt>
                <c:pt idx="7">
                  <c:v>0.04901712173500171</c:v>
                </c:pt>
                <c:pt idx="8">
                  <c:v>0.04887836755746949</c:v>
                </c:pt>
                <c:pt idx="9">
                  <c:v>0.04882882029690487</c:v>
                </c:pt>
                <c:pt idx="10">
                  <c:v>0.04799020648213902</c:v>
                </c:pt>
                <c:pt idx="11">
                  <c:v>0.047822586872320945</c:v>
                </c:pt>
                <c:pt idx="12">
                  <c:v>0.04704460166726925</c:v>
                </c:pt>
                <c:pt idx="13">
                  <c:v>0.0467206904730041</c:v>
                </c:pt>
                <c:pt idx="14">
                  <c:v>0.046503758120929786</c:v>
                </c:pt>
                <c:pt idx="15">
                  <c:v>0.04604760555097566</c:v>
                </c:pt>
                <c:pt idx="16">
                  <c:v>0.04572231480369797</c:v>
                </c:pt>
                <c:pt idx="17">
                  <c:v>0.04581696112674861</c:v>
                </c:pt>
                <c:pt idx="18">
                  <c:v>0.045406112090762674</c:v>
                </c:pt>
                <c:pt idx="19">
                  <c:v>0.04553481237741846</c:v>
                </c:pt>
                <c:pt idx="20">
                  <c:v>0.04562999775303034</c:v>
                </c:pt>
                <c:pt idx="21">
                  <c:v>0.04527157233861375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Req1!$B$119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Req1!$C$119:$X$119</c:f>
              <c:numCache>
                <c:ptCount val="22"/>
                <c:pt idx="0">
                  <c:v>0.29320588328789354</c:v>
                </c:pt>
                <c:pt idx="1">
                  <c:v>0.2926070009949965</c:v>
                </c:pt>
                <c:pt idx="2">
                  <c:v>0.29310727002634335</c:v>
                </c:pt>
                <c:pt idx="3">
                  <c:v>0.29431268836377594</c:v>
                </c:pt>
                <c:pt idx="4">
                  <c:v>0.29361328703640793</c:v>
                </c:pt>
                <c:pt idx="5">
                  <c:v>0.29356200468924815</c:v>
                </c:pt>
                <c:pt idx="6">
                  <c:v>0.29345104066705824</c:v>
                </c:pt>
                <c:pt idx="7">
                  <c:v>0.2937173833496844</c:v>
                </c:pt>
                <c:pt idx="8">
                  <c:v>0.2917484400911403</c:v>
                </c:pt>
                <c:pt idx="9">
                  <c:v>0.29080169791258575</c:v>
                </c:pt>
                <c:pt idx="10">
                  <c:v>0.28886852481658193</c:v>
                </c:pt>
                <c:pt idx="11">
                  <c:v>0.28741886883949036</c:v>
                </c:pt>
                <c:pt idx="12">
                  <c:v>0.28575230356466247</c:v>
                </c:pt>
                <c:pt idx="13">
                  <c:v>0.2837838970041147</c:v>
                </c:pt>
                <c:pt idx="14">
                  <c:v>0.28055140762252473</c:v>
                </c:pt>
                <c:pt idx="15">
                  <c:v>0.27776325636476934</c:v>
                </c:pt>
                <c:pt idx="16">
                  <c:v>0.2761118055445953</c:v>
                </c:pt>
                <c:pt idx="17">
                  <c:v>0.2742506967067162</c:v>
                </c:pt>
                <c:pt idx="18">
                  <c:v>0.2726354383090918</c:v>
                </c:pt>
                <c:pt idx="19">
                  <c:v>0.270424014644478</c:v>
                </c:pt>
                <c:pt idx="20">
                  <c:v>0.2695527657430041</c:v>
                </c:pt>
                <c:pt idx="21">
                  <c:v>0.26682835262221416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Req1!$B$120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Req1!$C$120:$X$120</c:f>
              <c:numCache>
                <c:ptCount val="22"/>
                <c:pt idx="0">
                  <c:v>0.03870712008205172</c:v>
                </c:pt>
                <c:pt idx="1">
                  <c:v>0.041306694567744724</c:v>
                </c:pt>
                <c:pt idx="2">
                  <c:v>0.04312189994067771</c:v>
                </c:pt>
                <c:pt idx="3">
                  <c:v>0.04414176353303632</c:v>
                </c:pt>
                <c:pt idx="4">
                  <c:v>0.04609016595577835</c:v>
                </c:pt>
                <c:pt idx="5">
                  <c:v>0.04738967416696432</c:v>
                </c:pt>
                <c:pt idx="6">
                  <c:v>0.04905912538712614</c:v>
                </c:pt>
                <c:pt idx="7">
                  <c:v>0.05064385833678613</c:v>
                </c:pt>
                <c:pt idx="8">
                  <c:v>0.05296490342441215</c:v>
                </c:pt>
                <c:pt idx="9">
                  <c:v>0.055083968902137695</c:v>
                </c:pt>
                <c:pt idx="10">
                  <c:v>0.05747822805398187</c:v>
                </c:pt>
                <c:pt idx="11">
                  <c:v>0.06071481600506535</c:v>
                </c:pt>
                <c:pt idx="12">
                  <c:v>0.06375919519510939</c:v>
                </c:pt>
                <c:pt idx="13">
                  <c:v>0.06678263263206918</c:v>
                </c:pt>
                <c:pt idx="14">
                  <c:v>0.07010746747442437</c:v>
                </c:pt>
                <c:pt idx="15">
                  <c:v>0.07332245679835997</c:v>
                </c:pt>
                <c:pt idx="16">
                  <c:v>0.07684338103108651</c:v>
                </c:pt>
                <c:pt idx="17">
                  <c:v>0.08040293323780587</c:v>
                </c:pt>
                <c:pt idx="18">
                  <c:v>0.08455324904651214</c:v>
                </c:pt>
                <c:pt idx="19">
                  <c:v>0.08848763369666689</c:v>
                </c:pt>
                <c:pt idx="20">
                  <c:v>0.09251099059421244</c:v>
                </c:pt>
                <c:pt idx="21">
                  <c:v>0.09667809834196749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Req1!$B$121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Req1!$C$121:$X$121</c:f>
              <c:numCache>
                <c:ptCount val="22"/>
                <c:pt idx="0">
                  <c:v>0.0031863795231292904</c:v>
                </c:pt>
                <c:pt idx="1">
                  <c:v>0.00488672013392059</c:v>
                </c:pt>
                <c:pt idx="2">
                  <c:v>0.007485115148599777</c:v>
                </c:pt>
                <c:pt idx="3">
                  <c:v>0.009800899311930317</c:v>
                </c:pt>
                <c:pt idx="4">
                  <c:v>0.012642575631999216</c:v>
                </c:pt>
                <c:pt idx="5">
                  <c:v>0.01630223700099038</c:v>
                </c:pt>
                <c:pt idx="6">
                  <c:v>0.020058040783800128</c:v>
                </c:pt>
                <c:pt idx="7">
                  <c:v>0.02369216003429723</c:v>
                </c:pt>
                <c:pt idx="8">
                  <c:v>0.028061317052961374</c:v>
                </c:pt>
                <c:pt idx="9">
                  <c:v>0.03250440536112099</c:v>
                </c:pt>
                <c:pt idx="10">
                  <c:v>0.03708738842943554</c:v>
                </c:pt>
                <c:pt idx="11">
                  <c:v>0.0415117822135099</c:v>
                </c:pt>
                <c:pt idx="12">
                  <c:v>0.04468279910533443</c:v>
                </c:pt>
                <c:pt idx="13">
                  <c:v>0.04803030904531832</c:v>
                </c:pt>
                <c:pt idx="14">
                  <c:v>0.05085305618552562</c:v>
                </c:pt>
                <c:pt idx="15">
                  <c:v>0.053620245222427254</c:v>
                </c:pt>
                <c:pt idx="16">
                  <c:v>0.05598148041631326</c:v>
                </c:pt>
                <c:pt idx="17">
                  <c:v>0.057567105385948135</c:v>
                </c:pt>
                <c:pt idx="18">
                  <c:v>0.05957590419764743</c:v>
                </c:pt>
                <c:pt idx="19">
                  <c:v>0.062085450540932015</c:v>
                </c:pt>
                <c:pt idx="20">
                  <c:v>0.06307186630178953</c:v>
                </c:pt>
                <c:pt idx="21">
                  <c:v>0.06412221410738592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Req1!$B$122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Req1!$C$122:$X$122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0.00010510113147653511</c:v>
                </c:pt>
                <c:pt idx="10">
                  <c:v>0.0009245730286374918</c:v>
                </c:pt>
                <c:pt idx="11">
                  <c:v>0.0025223953847132614</c:v>
                </c:pt>
                <c:pt idx="12">
                  <c:v>0.004106699995463548</c:v>
                </c:pt>
                <c:pt idx="13">
                  <c:v>0.006666807775253262</c:v>
                </c:pt>
                <c:pt idx="14">
                  <c:v>0.009327720504217199</c:v>
                </c:pt>
                <c:pt idx="15">
                  <c:v>0.012464425264451155</c:v>
                </c:pt>
                <c:pt idx="16">
                  <c:v>0.015749477594944418</c:v>
                </c:pt>
                <c:pt idx="17">
                  <c:v>0.01930523955938901</c:v>
                </c:pt>
                <c:pt idx="18">
                  <c:v>0.023512311174915118</c:v>
                </c:pt>
                <c:pt idx="19">
                  <c:v>0.027133897404893203</c:v>
                </c:pt>
                <c:pt idx="20">
                  <c:v>0.030680166574698974</c:v>
                </c:pt>
                <c:pt idx="21">
                  <c:v>0.03500525813356584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Req1!$B$123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Req1!$C$123:$X$123</c:f>
              <c:numCache>
                <c:ptCount val="22"/>
                <c:pt idx="0">
                  <c:v>0.0009538113234322864</c:v>
                </c:pt>
                <c:pt idx="1">
                  <c:v>0.001036067467734445</c:v>
                </c:pt>
                <c:pt idx="2">
                  <c:v>0.001047858228182807</c:v>
                </c:pt>
                <c:pt idx="3">
                  <c:v>0.0010893062193879494</c:v>
                </c:pt>
                <c:pt idx="4">
                  <c:v>0.0011613179342598475</c:v>
                </c:pt>
                <c:pt idx="5">
                  <c:v>0.0012402021399963168</c:v>
                </c:pt>
                <c:pt idx="6">
                  <c:v>0.0012539430947401575</c:v>
                </c:pt>
                <c:pt idx="7">
                  <c:v>0.001243101855834321</c:v>
                </c:pt>
                <c:pt idx="8">
                  <c:v>0.001274403859200175</c:v>
                </c:pt>
                <c:pt idx="9">
                  <c:v>0.0013030723441252185</c:v>
                </c:pt>
                <c:pt idx="10">
                  <c:v>0.0013385842635325385</c:v>
                </c:pt>
                <c:pt idx="11">
                  <c:v>0.0013144619873416978</c:v>
                </c:pt>
                <c:pt idx="12">
                  <c:v>0.0013365895726384575</c:v>
                </c:pt>
                <c:pt idx="13">
                  <c:v>0.0013040797105876877</c:v>
                </c:pt>
                <c:pt idx="14">
                  <c:v>0.0013269016945654545</c:v>
                </c:pt>
                <c:pt idx="15">
                  <c:v>0.0013135235973833867</c:v>
                </c:pt>
                <c:pt idx="16">
                  <c:v>0.0013241438194473603</c:v>
                </c:pt>
                <c:pt idx="17">
                  <c:v>0.0013152025859917143</c:v>
                </c:pt>
                <c:pt idx="18">
                  <c:v>0.0013600503090896254</c:v>
                </c:pt>
                <c:pt idx="19">
                  <c:v>0.0014190450188659848</c:v>
                </c:pt>
                <c:pt idx="20">
                  <c:v>0.001422651723679709</c:v>
                </c:pt>
                <c:pt idx="21">
                  <c:v>0.001409432981414461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Req1!$B$124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Req1!$C$124:$X$124</c:f>
              <c:numCache>
                <c:ptCount val="22"/>
                <c:pt idx="0">
                  <c:v>0.1016035788393467</c:v>
                </c:pt>
                <c:pt idx="1">
                  <c:v>0.10121352949831619</c:v>
                </c:pt>
                <c:pt idx="2">
                  <c:v>0.10039580598664374</c:v>
                </c:pt>
                <c:pt idx="3">
                  <c:v>0.10035266187322042</c:v>
                </c:pt>
                <c:pt idx="4">
                  <c:v>0.0999675417125875</c:v>
                </c:pt>
                <c:pt idx="5">
                  <c:v>0.09988099734262522</c:v>
                </c:pt>
                <c:pt idx="6">
                  <c:v>0.0996230425387455</c:v>
                </c:pt>
                <c:pt idx="7">
                  <c:v>0.09901250009993226</c:v>
                </c:pt>
                <c:pt idx="8">
                  <c:v>0.09866206594089615</c:v>
                </c:pt>
                <c:pt idx="9">
                  <c:v>0.0980537272891843</c:v>
                </c:pt>
                <c:pt idx="10">
                  <c:v>0.09715304609806966</c:v>
                </c:pt>
                <c:pt idx="11">
                  <c:v>0.09609432652264248</c:v>
                </c:pt>
                <c:pt idx="12">
                  <c:v>0.09517632702143528</c:v>
                </c:pt>
                <c:pt idx="13">
                  <c:v>0.09371984074267387</c:v>
                </c:pt>
                <c:pt idx="14">
                  <c:v>0.09262614893823155</c:v>
                </c:pt>
                <c:pt idx="15">
                  <c:v>0.09082693680409261</c:v>
                </c:pt>
                <c:pt idx="16">
                  <c:v>0.08954499332195942</c:v>
                </c:pt>
                <c:pt idx="17">
                  <c:v>0.08803283903986846</c:v>
                </c:pt>
                <c:pt idx="18">
                  <c:v>0.08605856936557231</c:v>
                </c:pt>
                <c:pt idx="19">
                  <c:v>0.08431505836584911</c:v>
                </c:pt>
                <c:pt idx="20">
                  <c:v>0.08256195005300239</c:v>
                </c:pt>
                <c:pt idx="21">
                  <c:v>0.08074642054307052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Req1!$B$125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Req1!$C$125:$X$125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0.00010366210353594198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Req1!$B$127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Req1!$C$114:$X$114</c:f>
              <c:strCache>
                <c:ptCount val="22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  <c:pt idx="13">
                  <c:v>38838</c:v>
                </c:pt>
                <c:pt idx="14">
                  <c:v>38869</c:v>
                </c:pt>
                <c:pt idx="15">
                  <c:v>38899</c:v>
                </c:pt>
                <c:pt idx="16">
                  <c:v>38930</c:v>
                </c:pt>
                <c:pt idx="17">
                  <c:v>38961</c:v>
                </c:pt>
                <c:pt idx="18">
                  <c:v>38991</c:v>
                </c:pt>
                <c:pt idx="19">
                  <c:v>39022</c:v>
                </c:pt>
                <c:pt idx="20">
                  <c:v>39052</c:v>
                </c:pt>
                <c:pt idx="21">
                  <c:v>39083</c:v>
                </c:pt>
              </c:strCache>
            </c:strRef>
          </c:cat>
          <c:val>
            <c:numRef>
              <c:f>Req1!$C$127:$X$127</c:f>
              <c:numCache>
                <c:ptCount val="22"/>
                <c:pt idx="0">
                  <c:v>0.5114950587001627</c:v>
                </c:pt>
                <c:pt idx="1">
                  <c:v>0.5086190040247327</c:v>
                </c:pt>
                <c:pt idx="2">
                  <c:v>0.504853301729163</c:v>
                </c:pt>
                <c:pt idx="3">
                  <c:v>0.5006619294612858</c:v>
                </c:pt>
                <c:pt idx="4">
                  <c:v>0.49698344857775867</c:v>
                </c:pt>
                <c:pt idx="5">
                  <c:v>0.49235636936521887</c:v>
                </c:pt>
                <c:pt idx="6">
                  <c:v>0.4873308917026151</c:v>
                </c:pt>
                <c:pt idx="7">
                  <c:v>0.4826738745884639</c:v>
                </c:pt>
                <c:pt idx="8">
                  <c:v>0.4784105020739202</c:v>
                </c:pt>
                <c:pt idx="9">
                  <c:v>0.4733192067624646</c:v>
                </c:pt>
                <c:pt idx="10">
                  <c:v>0.46915944882762173</c:v>
                </c:pt>
                <c:pt idx="11">
                  <c:v>0.46260076217491614</c:v>
                </c:pt>
                <c:pt idx="12">
                  <c:v>0.4581414838780872</c:v>
                </c:pt>
                <c:pt idx="13">
                  <c:v>0.4529917426169788</c:v>
                </c:pt>
                <c:pt idx="14">
                  <c:v>0.4487035394595812</c:v>
                </c:pt>
                <c:pt idx="15">
                  <c:v>0.44464155039754066</c:v>
                </c:pt>
                <c:pt idx="16">
                  <c:v>0.4387224034679556</c:v>
                </c:pt>
                <c:pt idx="17">
                  <c:v>0.433309022357532</c:v>
                </c:pt>
                <c:pt idx="18">
                  <c:v>0.4268983655064089</c:v>
                </c:pt>
                <c:pt idx="19">
                  <c:v>0.42060008795089643</c:v>
                </c:pt>
                <c:pt idx="20">
                  <c:v>0.4145696112565824</c:v>
                </c:pt>
                <c:pt idx="21">
                  <c:v>0.4098349888282319</c:v>
                </c:pt>
              </c:numCache>
            </c:numRef>
          </c:val>
          <c:smooth val="0"/>
        </c:ser>
        <c:marker val="1"/>
        <c:axId val="12855709"/>
        <c:axId val="48592518"/>
      </c:lineChart>
      <c:dateAx>
        <c:axId val="12855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58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592518"/>
        <c:crosses val="autoZero"/>
        <c:auto val="0"/>
        <c:noMultiLvlLbl val="0"/>
      </c:dateAx>
      <c:valAx>
        <c:axId val="48592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Montant cumulé annuel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28557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505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% Patients (données mensuelles)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- 549 médecins non visités au 16/01/2007</a:t>
            </a:r>
          </a:p>
        </c:rich>
      </c:tx>
      <c:layout>
        <c:manualLayout>
          <c:xMode val="factor"/>
          <c:yMode val="factor"/>
          <c:x val="0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025"/>
          <c:w val="0.75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Req2!$B$115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Req2!$C$115:$AI$115</c:f>
              <c:numCache>
                <c:ptCount val="33"/>
                <c:pt idx="0">
                  <c:v>0.1508937960042061</c:v>
                </c:pt>
                <c:pt idx="1">
                  <c:v>0.15036730945821855</c:v>
                </c:pt>
                <c:pt idx="2">
                  <c:v>0.14828988280315714</c:v>
                </c:pt>
                <c:pt idx="3">
                  <c:v>0.15052480916030533</c:v>
                </c:pt>
                <c:pt idx="4">
                  <c:v>0.1456937799043062</c:v>
                </c:pt>
                <c:pt idx="5">
                  <c:v>0.14571905556880516</c:v>
                </c:pt>
                <c:pt idx="6">
                  <c:v>0.14230594643667727</c:v>
                </c:pt>
                <c:pt idx="7">
                  <c:v>0.14226992464032884</c:v>
                </c:pt>
                <c:pt idx="8">
                  <c:v>0.137046452507511</c:v>
                </c:pt>
                <c:pt idx="9">
                  <c:v>0.14092806285293397</c:v>
                </c:pt>
                <c:pt idx="10">
                  <c:v>0.13898601398601398</c:v>
                </c:pt>
                <c:pt idx="11">
                  <c:v>0.14091415830546267</c:v>
                </c:pt>
                <c:pt idx="12">
                  <c:v>0.14251523063533508</c:v>
                </c:pt>
                <c:pt idx="13">
                  <c:v>0.1418609718893005</c:v>
                </c:pt>
                <c:pt idx="14">
                  <c:v>0.15152208743419546</c:v>
                </c:pt>
                <c:pt idx="15">
                  <c:v>0.15541740674955595</c:v>
                </c:pt>
                <c:pt idx="16">
                  <c:v>0.15336741498110693</c:v>
                </c:pt>
                <c:pt idx="17">
                  <c:v>0.15211970074812967</c:v>
                </c:pt>
                <c:pt idx="18">
                  <c:v>0.15995647442872687</c:v>
                </c:pt>
                <c:pt idx="19">
                  <c:v>0.16449369839200348</c:v>
                </c:pt>
                <c:pt idx="20">
                  <c:v>0.15968414125904803</c:v>
                </c:pt>
                <c:pt idx="21">
                  <c:v>0.15877311682453765</c:v>
                </c:pt>
                <c:pt idx="22">
                  <c:v>0.15671013883045856</c:v>
                </c:pt>
                <c:pt idx="23">
                  <c:v>0.15975780158360503</c:v>
                </c:pt>
                <c:pt idx="24">
                  <c:v>0.15954118873826903</c:v>
                </c:pt>
                <c:pt idx="25">
                  <c:v>0.15808433990252171</c:v>
                </c:pt>
                <c:pt idx="26">
                  <c:v>0.16231755860238833</c:v>
                </c:pt>
                <c:pt idx="27">
                  <c:v>0.15378115758343897</c:v>
                </c:pt>
                <c:pt idx="28">
                  <c:v>0.155060553633218</c:v>
                </c:pt>
                <c:pt idx="29">
                  <c:v>0.15161422149570902</c:v>
                </c:pt>
                <c:pt idx="30">
                  <c:v>0.15172558922558924</c:v>
                </c:pt>
                <c:pt idx="31">
                  <c:v>0.15719861231569818</c:v>
                </c:pt>
                <c:pt idx="32">
                  <c:v>0.15266875981161696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Req2!$B$116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Req2!$C$116:$AI$116</c:f>
              <c:numCache>
                <c:ptCount val="33"/>
                <c:pt idx="0">
                  <c:v>0.3094111461619348</c:v>
                </c:pt>
                <c:pt idx="1">
                  <c:v>0.30165289256198347</c:v>
                </c:pt>
                <c:pt idx="2">
                  <c:v>0.3164314757235111</c:v>
                </c:pt>
                <c:pt idx="3">
                  <c:v>0.3103530534351145</c:v>
                </c:pt>
                <c:pt idx="4">
                  <c:v>0.3028708133971292</c:v>
                </c:pt>
                <c:pt idx="5">
                  <c:v>0.3107560219413308</c:v>
                </c:pt>
                <c:pt idx="6">
                  <c:v>0.3107126645483432</c:v>
                </c:pt>
                <c:pt idx="7">
                  <c:v>0.3128568166248002</c:v>
                </c:pt>
                <c:pt idx="8">
                  <c:v>0.30945227640397505</c:v>
                </c:pt>
                <c:pt idx="9">
                  <c:v>0.29634176282838204</c:v>
                </c:pt>
                <c:pt idx="10">
                  <c:v>0.30332167832167833</c:v>
                </c:pt>
                <c:pt idx="11">
                  <c:v>0.29409141583054627</c:v>
                </c:pt>
                <c:pt idx="12">
                  <c:v>0.29308093994778067</c:v>
                </c:pt>
                <c:pt idx="13">
                  <c:v>0.29178470254957506</c:v>
                </c:pt>
                <c:pt idx="14">
                  <c:v>0.2897688258182651</c:v>
                </c:pt>
                <c:pt idx="15">
                  <c:v>0.28374777975133214</c:v>
                </c:pt>
                <c:pt idx="16">
                  <c:v>0.2745054456545899</c:v>
                </c:pt>
                <c:pt idx="17">
                  <c:v>0.27499433235094084</c:v>
                </c:pt>
                <c:pt idx="18">
                  <c:v>0.2724700761697497</c:v>
                </c:pt>
                <c:pt idx="19">
                  <c:v>0.2748804867448935</c:v>
                </c:pt>
                <c:pt idx="20">
                  <c:v>0.26957666154858523</c:v>
                </c:pt>
                <c:pt idx="21">
                  <c:v>0.2690572846188543</c:v>
                </c:pt>
                <c:pt idx="22">
                  <c:v>0.26020193521245266</c:v>
                </c:pt>
                <c:pt idx="23">
                  <c:v>0.2585002328830927</c:v>
                </c:pt>
                <c:pt idx="24">
                  <c:v>0.2535974973931178</c:v>
                </c:pt>
                <c:pt idx="25">
                  <c:v>0.24390760754397117</c:v>
                </c:pt>
                <c:pt idx="26">
                  <c:v>0.245687748783724</c:v>
                </c:pt>
                <c:pt idx="27">
                  <c:v>0.24947190536544148</c:v>
                </c:pt>
                <c:pt idx="28">
                  <c:v>0.24178200692041524</c:v>
                </c:pt>
                <c:pt idx="29">
                  <c:v>0.24478953821005311</c:v>
                </c:pt>
                <c:pt idx="30">
                  <c:v>0.2438973063973064</c:v>
                </c:pt>
                <c:pt idx="31">
                  <c:v>0.24002601908065915</c:v>
                </c:pt>
                <c:pt idx="32">
                  <c:v>0.24627158555729983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Req2!$B$117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Req2!$C$117:$AI$117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0.0010595465140919686</c:v>
                </c:pt>
                <c:pt idx="26">
                  <c:v>0.0015479876160990713</c:v>
                </c:pt>
                <c:pt idx="27">
                  <c:v>0.0025348542458808617</c:v>
                </c:pt>
                <c:pt idx="28">
                  <c:v>0.0025951557093425604</c:v>
                </c:pt>
                <c:pt idx="29">
                  <c:v>0.005108295872496935</c:v>
                </c:pt>
                <c:pt idx="30">
                  <c:v>0.005050505050505051</c:v>
                </c:pt>
                <c:pt idx="31">
                  <c:v>0.007372072853425846</c:v>
                </c:pt>
                <c:pt idx="32">
                  <c:v>0.007849293563579277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Req2!$B$118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Req2!$C$118:$AI$118</c:f>
              <c:numCache>
                <c:ptCount val="33"/>
                <c:pt idx="0">
                  <c:v>0.05651945320715037</c:v>
                </c:pt>
                <c:pt idx="1">
                  <c:v>0.05417814508723599</c:v>
                </c:pt>
                <c:pt idx="2">
                  <c:v>0.05524994020569242</c:v>
                </c:pt>
                <c:pt idx="3">
                  <c:v>0.05271946564885496</c:v>
                </c:pt>
                <c:pt idx="4">
                  <c:v>0.050239234449760764</c:v>
                </c:pt>
                <c:pt idx="5">
                  <c:v>0.0531838778917243</c:v>
                </c:pt>
                <c:pt idx="6">
                  <c:v>0.04857013163867453</c:v>
                </c:pt>
                <c:pt idx="7">
                  <c:v>0.05092486869148207</c:v>
                </c:pt>
                <c:pt idx="8">
                  <c:v>0.05246128957707419</c:v>
                </c:pt>
                <c:pt idx="9">
                  <c:v>0.05769702921679352</c:v>
                </c:pt>
                <c:pt idx="10">
                  <c:v>0.049169580419580416</c:v>
                </c:pt>
                <c:pt idx="11">
                  <c:v>0.055741360089186176</c:v>
                </c:pt>
                <c:pt idx="12">
                  <c:v>0.050478677110530897</c:v>
                </c:pt>
                <c:pt idx="13">
                  <c:v>0.05208106341250817</c:v>
                </c:pt>
                <c:pt idx="14">
                  <c:v>0.04966811627374685</c:v>
                </c:pt>
                <c:pt idx="15">
                  <c:v>0.052619893428063946</c:v>
                </c:pt>
                <c:pt idx="16">
                  <c:v>0.04867748388530785</c:v>
                </c:pt>
                <c:pt idx="17">
                  <c:v>0.0510088415325323</c:v>
                </c:pt>
                <c:pt idx="18">
                  <c:v>0.05005440696409141</c:v>
                </c:pt>
                <c:pt idx="19">
                  <c:v>0.051064754454584964</c:v>
                </c:pt>
                <c:pt idx="20">
                  <c:v>0.0539592015792937</c:v>
                </c:pt>
                <c:pt idx="21">
                  <c:v>0.04736129905277402</c:v>
                </c:pt>
                <c:pt idx="22">
                  <c:v>0.049221708035338665</c:v>
                </c:pt>
                <c:pt idx="23">
                  <c:v>0.04564508616674429</c:v>
                </c:pt>
                <c:pt idx="24">
                  <c:v>0.047966631908237745</c:v>
                </c:pt>
                <c:pt idx="25">
                  <c:v>0.04619622801440983</c:v>
                </c:pt>
                <c:pt idx="26">
                  <c:v>0.04599734630694383</c:v>
                </c:pt>
                <c:pt idx="27">
                  <c:v>0.046261089987325726</c:v>
                </c:pt>
                <c:pt idx="28">
                  <c:v>0.04757785467128028</c:v>
                </c:pt>
                <c:pt idx="29">
                  <c:v>0.04617899468737229</c:v>
                </c:pt>
                <c:pt idx="30">
                  <c:v>0.045664983164983165</c:v>
                </c:pt>
                <c:pt idx="31">
                  <c:v>0.042931483087597574</c:v>
                </c:pt>
                <c:pt idx="32">
                  <c:v>0.04140502354788069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Req2!$B$119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Req2!$C$119:$AI$119</c:f>
              <c:numCache>
                <c:ptCount val="33"/>
                <c:pt idx="0">
                  <c:v>0.20557308096740273</c:v>
                </c:pt>
                <c:pt idx="1">
                  <c:v>0.19788797061524335</c:v>
                </c:pt>
                <c:pt idx="2">
                  <c:v>0.19469026548672566</c:v>
                </c:pt>
                <c:pt idx="3">
                  <c:v>0.1987118320610687</c:v>
                </c:pt>
                <c:pt idx="4">
                  <c:v>0.20311004784688996</c:v>
                </c:pt>
                <c:pt idx="5">
                  <c:v>0.1981874552826139</c:v>
                </c:pt>
                <c:pt idx="6">
                  <c:v>0.20040853381752155</c:v>
                </c:pt>
                <c:pt idx="7">
                  <c:v>0.20552637588490522</c:v>
                </c:pt>
                <c:pt idx="8">
                  <c:v>0.20961405130575456</c:v>
                </c:pt>
                <c:pt idx="9">
                  <c:v>0.21114657500613798</c:v>
                </c:pt>
                <c:pt idx="10">
                  <c:v>0.20476398601398602</c:v>
                </c:pt>
                <c:pt idx="11">
                  <c:v>0.2129319955406912</c:v>
                </c:pt>
                <c:pt idx="12">
                  <c:v>0.2093124456048738</c:v>
                </c:pt>
                <c:pt idx="13">
                  <c:v>0.20897799084767923</c:v>
                </c:pt>
                <c:pt idx="14">
                  <c:v>0.20668345159075302</c:v>
                </c:pt>
                <c:pt idx="15">
                  <c:v>0.20093250444049734</c:v>
                </c:pt>
                <c:pt idx="16">
                  <c:v>0.20560124472104913</c:v>
                </c:pt>
                <c:pt idx="17">
                  <c:v>0.19814101110859217</c:v>
                </c:pt>
                <c:pt idx="18">
                  <c:v>0.19956474428726878</c:v>
                </c:pt>
                <c:pt idx="19">
                  <c:v>0.18817905258583226</c:v>
                </c:pt>
                <c:pt idx="20">
                  <c:v>0.19982452292169336</c:v>
                </c:pt>
                <c:pt idx="21">
                  <c:v>0.19215155615696888</c:v>
                </c:pt>
                <c:pt idx="22">
                  <c:v>0.19204880100967606</c:v>
                </c:pt>
                <c:pt idx="23">
                  <c:v>0.19259431765253843</c:v>
                </c:pt>
                <c:pt idx="24">
                  <c:v>0.1910323253388947</c:v>
                </c:pt>
                <c:pt idx="25">
                  <c:v>0.19220173765628312</c:v>
                </c:pt>
                <c:pt idx="26">
                  <c:v>0.19349845201238391</c:v>
                </c:pt>
                <c:pt idx="27">
                  <c:v>0.19180397127165189</c:v>
                </c:pt>
                <c:pt idx="28">
                  <c:v>0.19247404844290658</c:v>
                </c:pt>
                <c:pt idx="29">
                  <c:v>0.1834899877400899</c:v>
                </c:pt>
                <c:pt idx="30">
                  <c:v>0.18265993265993266</c:v>
                </c:pt>
                <c:pt idx="31">
                  <c:v>0.1901561144839549</c:v>
                </c:pt>
                <c:pt idx="32">
                  <c:v>0.19171899529042385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Req2!$B$120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Req2!$C$120:$AI$120</c:f>
              <c:numCache>
                <c:ptCount val="33"/>
                <c:pt idx="0">
                  <c:v>0.016561514195583597</c:v>
                </c:pt>
                <c:pt idx="1">
                  <c:v>0.026170798898071626</c:v>
                </c:pt>
                <c:pt idx="2">
                  <c:v>0.03181057163358048</c:v>
                </c:pt>
                <c:pt idx="3">
                  <c:v>0.029103053435114504</c:v>
                </c:pt>
                <c:pt idx="4">
                  <c:v>0.03277511961722488</c:v>
                </c:pt>
                <c:pt idx="5">
                  <c:v>0.034819937991891245</c:v>
                </c:pt>
                <c:pt idx="6">
                  <c:v>0.03472537448933273</c:v>
                </c:pt>
                <c:pt idx="7">
                  <c:v>0.027860242064398265</c:v>
                </c:pt>
                <c:pt idx="8">
                  <c:v>0.03304830136353132</c:v>
                </c:pt>
                <c:pt idx="9">
                  <c:v>0.03363614043702431</c:v>
                </c:pt>
                <c:pt idx="10">
                  <c:v>0.037587412587412584</c:v>
                </c:pt>
                <c:pt idx="11">
                  <c:v>0.039910813823857305</c:v>
                </c:pt>
                <c:pt idx="12">
                  <c:v>0.04286335944299391</c:v>
                </c:pt>
                <c:pt idx="13">
                  <c:v>0.04619742863368926</c:v>
                </c:pt>
                <c:pt idx="14">
                  <c:v>0.04211490043488213</c:v>
                </c:pt>
                <c:pt idx="15">
                  <c:v>0.04440497335701599</c:v>
                </c:pt>
                <c:pt idx="16">
                  <c:v>0.04512113803067348</c:v>
                </c:pt>
                <c:pt idx="17">
                  <c:v>0.048968487871231016</c:v>
                </c:pt>
                <c:pt idx="18">
                  <c:v>0.0485310119695321</c:v>
                </c:pt>
                <c:pt idx="19">
                  <c:v>0.0480225988700565</c:v>
                </c:pt>
                <c:pt idx="20">
                  <c:v>0.050669006361044086</c:v>
                </c:pt>
                <c:pt idx="21">
                  <c:v>0.06111862877762742</c:v>
                </c:pt>
                <c:pt idx="22">
                  <c:v>0.069625578460244</c:v>
                </c:pt>
                <c:pt idx="23">
                  <c:v>0.07661853749417792</c:v>
                </c:pt>
                <c:pt idx="24">
                  <c:v>0.07883211678832117</c:v>
                </c:pt>
                <c:pt idx="25">
                  <c:v>0.08582326764144946</c:v>
                </c:pt>
                <c:pt idx="26">
                  <c:v>0.08513931888544891</c:v>
                </c:pt>
                <c:pt idx="27">
                  <c:v>0.08597380650612589</c:v>
                </c:pt>
                <c:pt idx="28">
                  <c:v>0.08953287197231834</c:v>
                </c:pt>
                <c:pt idx="29">
                  <c:v>0.09746628524724152</c:v>
                </c:pt>
                <c:pt idx="30">
                  <c:v>0.09974747474747475</c:v>
                </c:pt>
                <c:pt idx="31">
                  <c:v>0.09778837814397225</c:v>
                </c:pt>
                <c:pt idx="32">
                  <c:v>0.09850863422291994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Req2!$B$121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Req2!$C$121:$AI$121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0.0011555350127108851</c:v>
                </c:pt>
                <c:pt idx="9">
                  <c:v>0.0031917505524183647</c:v>
                </c:pt>
                <c:pt idx="10">
                  <c:v>0.006555944055944056</c:v>
                </c:pt>
                <c:pt idx="11">
                  <c:v>0.009364548494983277</c:v>
                </c:pt>
                <c:pt idx="12">
                  <c:v>0.0097911227154047</c:v>
                </c:pt>
                <c:pt idx="13">
                  <c:v>0.016343429941163654</c:v>
                </c:pt>
                <c:pt idx="14">
                  <c:v>0.015106431677729458</c:v>
                </c:pt>
                <c:pt idx="15">
                  <c:v>0.016873889875666074</c:v>
                </c:pt>
                <c:pt idx="16">
                  <c:v>0.022893976439208714</c:v>
                </c:pt>
                <c:pt idx="17">
                  <c:v>0.023350714123781455</c:v>
                </c:pt>
                <c:pt idx="18">
                  <c:v>0.022633297062023938</c:v>
                </c:pt>
                <c:pt idx="19">
                  <c:v>0.027379400260756193</c:v>
                </c:pt>
                <c:pt idx="20">
                  <c:v>0.02697960078964685</c:v>
                </c:pt>
                <c:pt idx="21">
                  <c:v>0.033152909336941816</c:v>
                </c:pt>
                <c:pt idx="22">
                  <c:v>0.03155237694572991</c:v>
                </c:pt>
                <c:pt idx="23">
                  <c:v>0.027713088029809037</c:v>
                </c:pt>
                <c:pt idx="24">
                  <c:v>0.02961418143899896</c:v>
                </c:pt>
                <c:pt idx="25">
                  <c:v>0.029879211697393517</c:v>
                </c:pt>
                <c:pt idx="26">
                  <c:v>0.031180893409995577</c:v>
                </c:pt>
                <c:pt idx="27">
                  <c:v>0.02999577524292353</c:v>
                </c:pt>
                <c:pt idx="28">
                  <c:v>0.03027681660899654</c:v>
                </c:pt>
                <c:pt idx="29">
                  <c:v>0.032488761749080504</c:v>
                </c:pt>
                <c:pt idx="30">
                  <c:v>0.032407407407407406</c:v>
                </c:pt>
                <c:pt idx="31">
                  <c:v>0.030138768430182133</c:v>
                </c:pt>
                <c:pt idx="32">
                  <c:v>0.03159340659340659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Req2!$B$122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Req2!$C$122:$AI$122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0.0004386926957666155</c:v>
                </c:pt>
                <c:pt idx="21">
                  <c:v>0.0033829499323410014</c:v>
                </c:pt>
                <c:pt idx="22">
                  <c:v>0.006731173748422381</c:v>
                </c:pt>
                <c:pt idx="23">
                  <c:v>0.007685142058686539</c:v>
                </c:pt>
                <c:pt idx="24">
                  <c:v>0.009801876955161626</c:v>
                </c:pt>
                <c:pt idx="25">
                  <c:v>0.011231193049374867</c:v>
                </c:pt>
                <c:pt idx="26">
                  <c:v>0.012605042016806723</c:v>
                </c:pt>
                <c:pt idx="27">
                  <c:v>0.012463033375580903</c:v>
                </c:pt>
                <c:pt idx="28">
                  <c:v>0.014057093425605537</c:v>
                </c:pt>
                <c:pt idx="29">
                  <c:v>0.015120555782590927</c:v>
                </c:pt>
                <c:pt idx="30">
                  <c:v>0.013678451178451179</c:v>
                </c:pt>
                <c:pt idx="31">
                  <c:v>0.01409366869037294</c:v>
                </c:pt>
                <c:pt idx="32">
                  <c:v>0.015306122448979591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Req2!$B$123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Req2!$C$123:$AI$123</c:f>
              <c:numCache>
                <c:ptCount val="33"/>
                <c:pt idx="0">
                  <c:v>0.0013144058885383807</c:v>
                </c:pt>
                <c:pt idx="1">
                  <c:v>0.0025252525252525255</c:v>
                </c:pt>
                <c:pt idx="2">
                  <c:v>0.0019134178426213825</c:v>
                </c:pt>
                <c:pt idx="3">
                  <c:v>0.0014312977099236641</c:v>
                </c:pt>
                <c:pt idx="4">
                  <c:v>0.0016746411483253589</c:v>
                </c:pt>
                <c:pt idx="5">
                  <c:v>0.0026234199856904365</c:v>
                </c:pt>
                <c:pt idx="6">
                  <c:v>0.0029505220154334997</c:v>
                </c:pt>
                <c:pt idx="7">
                  <c:v>0.0022836263987211693</c:v>
                </c:pt>
                <c:pt idx="8">
                  <c:v>0.0027732840305061245</c:v>
                </c:pt>
                <c:pt idx="9">
                  <c:v>0.00220967345936656</c:v>
                </c:pt>
                <c:pt idx="10">
                  <c:v>0.0021853146853146855</c:v>
                </c:pt>
                <c:pt idx="11">
                  <c:v>0.002006688963210702</c:v>
                </c:pt>
                <c:pt idx="12">
                  <c:v>0.0032637075718015664</c:v>
                </c:pt>
                <c:pt idx="13">
                  <c:v>0.002397036391370669</c:v>
                </c:pt>
                <c:pt idx="14">
                  <c:v>0.002746623941405356</c:v>
                </c:pt>
                <c:pt idx="15">
                  <c:v>0.003108348134991119</c:v>
                </c:pt>
                <c:pt idx="16">
                  <c:v>0.00288953100689042</c:v>
                </c:pt>
                <c:pt idx="17">
                  <c:v>0.002720471548401723</c:v>
                </c:pt>
                <c:pt idx="18">
                  <c:v>0.002393906420021763</c:v>
                </c:pt>
                <c:pt idx="19">
                  <c:v>0.002607561929595828</c:v>
                </c:pt>
                <c:pt idx="20">
                  <c:v>0.003509541566132924</c:v>
                </c:pt>
                <c:pt idx="21">
                  <c:v>0.0031574199368516014</c:v>
                </c:pt>
                <c:pt idx="22">
                  <c:v>0.002103491796381994</c:v>
                </c:pt>
                <c:pt idx="23">
                  <c:v>0.0027945971122496508</c:v>
                </c:pt>
                <c:pt idx="24">
                  <c:v>0.0022940563086548487</c:v>
                </c:pt>
                <c:pt idx="25">
                  <c:v>0.003178639542275906</c:v>
                </c:pt>
                <c:pt idx="26">
                  <c:v>0.0026536930561698365</c:v>
                </c:pt>
                <c:pt idx="27">
                  <c:v>0.0031685678073510772</c:v>
                </c:pt>
                <c:pt idx="28">
                  <c:v>0.0034602076124567475</c:v>
                </c:pt>
                <c:pt idx="29">
                  <c:v>0.0038823048630976706</c:v>
                </c:pt>
                <c:pt idx="30">
                  <c:v>0.0035774410774410776</c:v>
                </c:pt>
                <c:pt idx="31">
                  <c:v>0.0026019080659150044</c:v>
                </c:pt>
                <c:pt idx="32">
                  <c:v>0.0027472527472527475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Req2!$B$124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Req2!$C$124:$AI$124</c:f>
              <c:numCache>
                <c:ptCount val="33"/>
                <c:pt idx="0">
                  <c:v>0.259726603575184</c:v>
                </c:pt>
                <c:pt idx="1">
                  <c:v>0.26721763085399447</c:v>
                </c:pt>
                <c:pt idx="2">
                  <c:v>0.2516144463047118</c:v>
                </c:pt>
                <c:pt idx="3">
                  <c:v>0.2571564885496183</c:v>
                </c:pt>
                <c:pt idx="4">
                  <c:v>0.2636363636363636</c:v>
                </c:pt>
                <c:pt idx="5">
                  <c:v>0.2547102313379442</c:v>
                </c:pt>
                <c:pt idx="6">
                  <c:v>0.2603268270540173</c:v>
                </c:pt>
                <c:pt idx="7">
                  <c:v>0.2582781456953642</c:v>
                </c:pt>
                <c:pt idx="8">
                  <c:v>0.2544488097989369</c:v>
                </c:pt>
                <c:pt idx="9">
                  <c:v>0.2548490056469433</c:v>
                </c:pt>
                <c:pt idx="10">
                  <c:v>0.25743006993006995</c:v>
                </c:pt>
                <c:pt idx="11">
                  <c:v>0.24503901895206243</c:v>
                </c:pt>
                <c:pt idx="12">
                  <c:v>0.24869451697127937</c:v>
                </c:pt>
                <c:pt idx="13">
                  <c:v>0.24035737633471344</c:v>
                </c:pt>
                <c:pt idx="14">
                  <c:v>0.24238956282902266</c:v>
                </c:pt>
                <c:pt idx="15">
                  <c:v>0.24289520426287745</c:v>
                </c:pt>
                <c:pt idx="16">
                  <c:v>0.2469437652811736</c:v>
                </c:pt>
                <c:pt idx="17">
                  <c:v>0.24869644071639085</c:v>
                </c:pt>
                <c:pt idx="18">
                  <c:v>0.24439608269858543</c:v>
                </c:pt>
                <c:pt idx="19">
                  <c:v>0.24337244676227726</c:v>
                </c:pt>
                <c:pt idx="20">
                  <c:v>0.2353586312787892</c:v>
                </c:pt>
                <c:pt idx="21">
                  <c:v>0.2318448353631033</c:v>
                </c:pt>
                <c:pt idx="22">
                  <c:v>0.23180479596129575</c:v>
                </c:pt>
                <c:pt idx="23">
                  <c:v>0.2286911970190964</c:v>
                </c:pt>
                <c:pt idx="24">
                  <c:v>0.2273201251303441</c:v>
                </c:pt>
                <c:pt idx="25">
                  <c:v>0.22843822843822845</c:v>
                </c:pt>
                <c:pt idx="26">
                  <c:v>0.2193719593100398</c:v>
                </c:pt>
                <c:pt idx="27">
                  <c:v>0.22454583861427968</c:v>
                </c:pt>
                <c:pt idx="28">
                  <c:v>0.2231833910034602</c:v>
                </c:pt>
                <c:pt idx="29">
                  <c:v>0.21986105435226808</c:v>
                </c:pt>
                <c:pt idx="30">
                  <c:v>0.2215909090909091</c:v>
                </c:pt>
                <c:pt idx="31">
                  <c:v>0.21769297484822203</c:v>
                </c:pt>
                <c:pt idx="32">
                  <c:v>0.2109497645211931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Req2!$B$125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Req2!$C$125:$AI$125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0.0009811616954474097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Req2!$B$127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Req2!$C$114:$AI$114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Req2!$C$127:$AI$127</c:f>
              <c:numCache>
                <c:ptCount val="33"/>
                <c:pt idx="0">
                  <c:v>0.46030494216614093</c:v>
                </c:pt>
                <c:pt idx="1">
                  <c:v>0.45202020202020204</c:v>
                </c:pt>
                <c:pt idx="2">
                  <c:v>0.46472135852666824</c:v>
                </c:pt>
                <c:pt idx="3">
                  <c:v>0.46087786259541985</c:v>
                </c:pt>
                <c:pt idx="4">
                  <c:v>0.4485645933014354</c:v>
                </c:pt>
                <c:pt idx="5">
                  <c:v>0.45647507751013594</c:v>
                </c:pt>
                <c:pt idx="6">
                  <c:v>0.45301861098502044</c:v>
                </c:pt>
                <c:pt idx="7">
                  <c:v>0.45512674126512903</c:v>
                </c:pt>
                <c:pt idx="8">
                  <c:v>0.446498728911486</c:v>
                </c:pt>
                <c:pt idx="9">
                  <c:v>0.437269825681316</c:v>
                </c:pt>
                <c:pt idx="10">
                  <c:v>0.4423076923076923</c:v>
                </c:pt>
                <c:pt idx="11">
                  <c:v>0.43500557413600893</c:v>
                </c:pt>
                <c:pt idx="12">
                  <c:v>0.4355961705831157</c:v>
                </c:pt>
                <c:pt idx="13">
                  <c:v>0.4336456744388756</c:v>
                </c:pt>
                <c:pt idx="14">
                  <c:v>0.4412909132524605</c:v>
                </c:pt>
                <c:pt idx="15">
                  <c:v>0.4391651865008881</c:v>
                </c:pt>
                <c:pt idx="16">
                  <c:v>0.4278728606356968</c:v>
                </c:pt>
                <c:pt idx="17">
                  <c:v>0.4271140330990705</c:v>
                </c:pt>
                <c:pt idx="18">
                  <c:v>0.4324265505984766</c:v>
                </c:pt>
                <c:pt idx="19">
                  <c:v>0.439374185136897</c:v>
                </c:pt>
                <c:pt idx="20">
                  <c:v>0.42926080280763323</c:v>
                </c:pt>
                <c:pt idx="21">
                  <c:v>0.42783040144339196</c:v>
                </c:pt>
                <c:pt idx="22">
                  <c:v>0.41691207404291125</c:v>
                </c:pt>
                <c:pt idx="23">
                  <c:v>0.41825803446669774</c:v>
                </c:pt>
                <c:pt idx="24">
                  <c:v>0.4131386861313869</c:v>
                </c:pt>
                <c:pt idx="25">
                  <c:v>0.4030514939605849</c:v>
                </c:pt>
                <c:pt idx="26">
                  <c:v>0.40955329500221144</c:v>
                </c:pt>
                <c:pt idx="27">
                  <c:v>0.4057879171947613</c:v>
                </c:pt>
                <c:pt idx="28">
                  <c:v>0.3994377162629758</c:v>
                </c:pt>
                <c:pt idx="29">
                  <c:v>0.4015120555782591</c:v>
                </c:pt>
                <c:pt idx="30">
                  <c:v>0.4006734006734007</c:v>
                </c:pt>
                <c:pt idx="31">
                  <c:v>0.40459670424978317</c:v>
                </c:pt>
                <c:pt idx="32">
                  <c:v>0.4067896389324961</c:v>
                </c:pt>
              </c:numCache>
            </c:numRef>
          </c:val>
          <c:smooth val="0"/>
        </c:ser>
        <c:marker val="1"/>
        <c:axId val="34679479"/>
        <c:axId val="43679856"/>
      </c:lineChart>
      <c:dateAx>
        <c:axId val="34679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79856"/>
        <c:crosses val="autoZero"/>
        <c:auto val="0"/>
        <c:noMultiLvlLbl val="0"/>
      </c:dateAx>
      <c:valAx>
        <c:axId val="4367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Patients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46794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.34775"/>
          <c:w val="0.18325"/>
          <c:h val="0.39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Nombres de patients (données mensuelles)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- 549 médecins non visités au 16/01/2007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435"/>
          <c:w val="0.75375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Req2!$B$97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Req2!$C$97:$AI$97</c:f>
              <c:numCache>
                <c:ptCount val="33"/>
                <c:pt idx="0">
                  <c:v>574</c:v>
                </c:pt>
                <c:pt idx="1">
                  <c:v>655</c:v>
                </c:pt>
                <c:pt idx="2">
                  <c:v>620</c:v>
                </c:pt>
                <c:pt idx="3">
                  <c:v>631</c:v>
                </c:pt>
                <c:pt idx="4">
                  <c:v>609</c:v>
                </c:pt>
                <c:pt idx="5">
                  <c:v>611</c:v>
                </c:pt>
                <c:pt idx="6">
                  <c:v>627</c:v>
                </c:pt>
                <c:pt idx="7">
                  <c:v>623</c:v>
                </c:pt>
                <c:pt idx="8">
                  <c:v>593</c:v>
                </c:pt>
                <c:pt idx="9">
                  <c:v>574</c:v>
                </c:pt>
                <c:pt idx="10">
                  <c:v>636</c:v>
                </c:pt>
                <c:pt idx="11">
                  <c:v>632</c:v>
                </c:pt>
                <c:pt idx="12">
                  <c:v>655</c:v>
                </c:pt>
                <c:pt idx="13">
                  <c:v>651</c:v>
                </c:pt>
                <c:pt idx="14">
                  <c:v>662</c:v>
                </c:pt>
                <c:pt idx="15">
                  <c:v>700</c:v>
                </c:pt>
                <c:pt idx="16">
                  <c:v>690</c:v>
                </c:pt>
                <c:pt idx="17">
                  <c:v>671</c:v>
                </c:pt>
                <c:pt idx="18">
                  <c:v>735</c:v>
                </c:pt>
                <c:pt idx="19">
                  <c:v>757</c:v>
                </c:pt>
                <c:pt idx="20">
                  <c:v>728</c:v>
                </c:pt>
                <c:pt idx="21">
                  <c:v>704</c:v>
                </c:pt>
                <c:pt idx="22">
                  <c:v>745</c:v>
                </c:pt>
                <c:pt idx="23">
                  <c:v>686</c:v>
                </c:pt>
                <c:pt idx="24">
                  <c:v>765</c:v>
                </c:pt>
                <c:pt idx="25">
                  <c:v>746</c:v>
                </c:pt>
                <c:pt idx="26">
                  <c:v>734</c:v>
                </c:pt>
                <c:pt idx="27">
                  <c:v>728</c:v>
                </c:pt>
                <c:pt idx="28">
                  <c:v>717</c:v>
                </c:pt>
                <c:pt idx="29">
                  <c:v>742</c:v>
                </c:pt>
                <c:pt idx="30">
                  <c:v>721</c:v>
                </c:pt>
                <c:pt idx="31">
                  <c:v>725</c:v>
                </c:pt>
                <c:pt idx="32">
                  <c:v>778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Req2!$B$98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Req2!$C$98:$AI$98</c:f>
              <c:numCache>
                <c:ptCount val="33"/>
                <c:pt idx="0">
                  <c:v>1177</c:v>
                </c:pt>
                <c:pt idx="1">
                  <c:v>1314</c:v>
                </c:pt>
                <c:pt idx="2">
                  <c:v>1323</c:v>
                </c:pt>
                <c:pt idx="3">
                  <c:v>1301</c:v>
                </c:pt>
                <c:pt idx="4">
                  <c:v>1266</c:v>
                </c:pt>
                <c:pt idx="5">
                  <c:v>1303</c:v>
                </c:pt>
                <c:pt idx="6">
                  <c:v>1369</c:v>
                </c:pt>
                <c:pt idx="7">
                  <c:v>1370</c:v>
                </c:pt>
                <c:pt idx="8">
                  <c:v>1339</c:v>
                </c:pt>
                <c:pt idx="9">
                  <c:v>1207</c:v>
                </c:pt>
                <c:pt idx="10">
                  <c:v>1388</c:v>
                </c:pt>
                <c:pt idx="11">
                  <c:v>1319</c:v>
                </c:pt>
                <c:pt idx="12">
                  <c:v>1347</c:v>
                </c:pt>
                <c:pt idx="13">
                  <c:v>1339</c:v>
                </c:pt>
                <c:pt idx="14">
                  <c:v>1266</c:v>
                </c:pt>
                <c:pt idx="15">
                  <c:v>1278</c:v>
                </c:pt>
                <c:pt idx="16">
                  <c:v>1235</c:v>
                </c:pt>
                <c:pt idx="17">
                  <c:v>1213</c:v>
                </c:pt>
                <c:pt idx="18">
                  <c:v>1252</c:v>
                </c:pt>
                <c:pt idx="19">
                  <c:v>1265</c:v>
                </c:pt>
                <c:pt idx="20">
                  <c:v>1229</c:v>
                </c:pt>
                <c:pt idx="21">
                  <c:v>1193</c:v>
                </c:pt>
                <c:pt idx="22">
                  <c:v>1237</c:v>
                </c:pt>
                <c:pt idx="23">
                  <c:v>1110</c:v>
                </c:pt>
                <c:pt idx="24">
                  <c:v>1216</c:v>
                </c:pt>
                <c:pt idx="25">
                  <c:v>1151</c:v>
                </c:pt>
                <c:pt idx="26">
                  <c:v>1111</c:v>
                </c:pt>
                <c:pt idx="27">
                  <c:v>1181</c:v>
                </c:pt>
                <c:pt idx="28">
                  <c:v>1118</c:v>
                </c:pt>
                <c:pt idx="29">
                  <c:v>1198</c:v>
                </c:pt>
                <c:pt idx="30">
                  <c:v>1159</c:v>
                </c:pt>
                <c:pt idx="31">
                  <c:v>1107</c:v>
                </c:pt>
                <c:pt idx="32">
                  <c:v>1255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Req2!$B$99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Req2!$C$99:$AI$99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7</c:v>
                </c:pt>
                <c:pt idx="27">
                  <c:v>12</c:v>
                </c:pt>
                <c:pt idx="28">
                  <c:v>12</c:v>
                </c:pt>
                <c:pt idx="29">
                  <c:v>25</c:v>
                </c:pt>
                <c:pt idx="30">
                  <c:v>24</c:v>
                </c:pt>
                <c:pt idx="31">
                  <c:v>34</c:v>
                </c:pt>
                <c:pt idx="32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Req2!$B$100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Req2!$C$100:$AI$100</c:f>
              <c:numCache>
                <c:ptCount val="33"/>
                <c:pt idx="0">
                  <c:v>215</c:v>
                </c:pt>
                <c:pt idx="1">
                  <c:v>236</c:v>
                </c:pt>
                <c:pt idx="2">
                  <c:v>231</c:v>
                </c:pt>
                <c:pt idx="3">
                  <c:v>221</c:v>
                </c:pt>
                <c:pt idx="4">
                  <c:v>210</c:v>
                </c:pt>
                <c:pt idx="5">
                  <c:v>223</c:v>
                </c:pt>
                <c:pt idx="6">
                  <c:v>214</c:v>
                </c:pt>
                <c:pt idx="7">
                  <c:v>223</c:v>
                </c:pt>
                <c:pt idx="8">
                  <c:v>227</c:v>
                </c:pt>
                <c:pt idx="9">
                  <c:v>235</c:v>
                </c:pt>
                <c:pt idx="10">
                  <c:v>225</c:v>
                </c:pt>
                <c:pt idx="11">
                  <c:v>250</c:v>
                </c:pt>
                <c:pt idx="12">
                  <c:v>232</c:v>
                </c:pt>
                <c:pt idx="13">
                  <c:v>239</c:v>
                </c:pt>
                <c:pt idx="14">
                  <c:v>217</c:v>
                </c:pt>
                <c:pt idx="15">
                  <c:v>237</c:v>
                </c:pt>
                <c:pt idx="16">
                  <c:v>219</c:v>
                </c:pt>
                <c:pt idx="17">
                  <c:v>225</c:v>
                </c:pt>
                <c:pt idx="18">
                  <c:v>230</c:v>
                </c:pt>
                <c:pt idx="19">
                  <c:v>235</c:v>
                </c:pt>
                <c:pt idx="20">
                  <c:v>246</c:v>
                </c:pt>
                <c:pt idx="21">
                  <c:v>210</c:v>
                </c:pt>
                <c:pt idx="22">
                  <c:v>234</c:v>
                </c:pt>
                <c:pt idx="23">
                  <c:v>196</c:v>
                </c:pt>
                <c:pt idx="24">
                  <c:v>230</c:v>
                </c:pt>
                <c:pt idx="25">
                  <c:v>218</c:v>
                </c:pt>
                <c:pt idx="26">
                  <c:v>208</c:v>
                </c:pt>
                <c:pt idx="27">
                  <c:v>219</c:v>
                </c:pt>
                <c:pt idx="28">
                  <c:v>220</c:v>
                </c:pt>
                <c:pt idx="29">
                  <c:v>226</c:v>
                </c:pt>
                <c:pt idx="30">
                  <c:v>217</c:v>
                </c:pt>
                <c:pt idx="31">
                  <c:v>198</c:v>
                </c:pt>
                <c:pt idx="32">
                  <c:v>211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Req2!$B$101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Req2!$C$101:$AI$101</c:f>
              <c:numCache>
                <c:ptCount val="33"/>
                <c:pt idx="0">
                  <c:v>782</c:v>
                </c:pt>
                <c:pt idx="1">
                  <c:v>862</c:v>
                </c:pt>
                <c:pt idx="2">
                  <c:v>814</c:v>
                </c:pt>
                <c:pt idx="3">
                  <c:v>833</c:v>
                </c:pt>
                <c:pt idx="4">
                  <c:v>849</c:v>
                </c:pt>
                <c:pt idx="5">
                  <c:v>831</c:v>
                </c:pt>
                <c:pt idx="6">
                  <c:v>883</c:v>
                </c:pt>
                <c:pt idx="7">
                  <c:v>900</c:v>
                </c:pt>
                <c:pt idx="8">
                  <c:v>907</c:v>
                </c:pt>
                <c:pt idx="9">
                  <c:v>860</c:v>
                </c:pt>
                <c:pt idx="10">
                  <c:v>937</c:v>
                </c:pt>
                <c:pt idx="11">
                  <c:v>955</c:v>
                </c:pt>
                <c:pt idx="12">
                  <c:v>962</c:v>
                </c:pt>
                <c:pt idx="13">
                  <c:v>959</c:v>
                </c:pt>
                <c:pt idx="14">
                  <c:v>903</c:v>
                </c:pt>
                <c:pt idx="15">
                  <c:v>905</c:v>
                </c:pt>
                <c:pt idx="16">
                  <c:v>925</c:v>
                </c:pt>
                <c:pt idx="17">
                  <c:v>874</c:v>
                </c:pt>
                <c:pt idx="18">
                  <c:v>917</c:v>
                </c:pt>
                <c:pt idx="19">
                  <c:v>866</c:v>
                </c:pt>
                <c:pt idx="20">
                  <c:v>911</c:v>
                </c:pt>
                <c:pt idx="21">
                  <c:v>852</c:v>
                </c:pt>
                <c:pt idx="22">
                  <c:v>913</c:v>
                </c:pt>
                <c:pt idx="23">
                  <c:v>827</c:v>
                </c:pt>
                <c:pt idx="24">
                  <c:v>916</c:v>
                </c:pt>
                <c:pt idx="25">
                  <c:v>907</c:v>
                </c:pt>
                <c:pt idx="26">
                  <c:v>875</c:v>
                </c:pt>
                <c:pt idx="27">
                  <c:v>908</c:v>
                </c:pt>
                <c:pt idx="28">
                  <c:v>890</c:v>
                </c:pt>
                <c:pt idx="29">
                  <c:v>898</c:v>
                </c:pt>
                <c:pt idx="30">
                  <c:v>868</c:v>
                </c:pt>
                <c:pt idx="31">
                  <c:v>877</c:v>
                </c:pt>
                <c:pt idx="32">
                  <c:v>977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Req2!$B$102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Req2!$C$102:$AI$102</c:f>
              <c:numCache>
                <c:ptCount val="33"/>
                <c:pt idx="0">
                  <c:v>63</c:v>
                </c:pt>
                <c:pt idx="1">
                  <c:v>114</c:v>
                </c:pt>
                <c:pt idx="2">
                  <c:v>133</c:v>
                </c:pt>
                <c:pt idx="3">
                  <c:v>122</c:v>
                </c:pt>
                <c:pt idx="4">
                  <c:v>137</c:v>
                </c:pt>
                <c:pt idx="5">
                  <c:v>146</c:v>
                </c:pt>
                <c:pt idx="6">
                  <c:v>153</c:v>
                </c:pt>
                <c:pt idx="7">
                  <c:v>122</c:v>
                </c:pt>
                <c:pt idx="8">
                  <c:v>143</c:v>
                </c:pt>
                <c:pt idx="9">
                  <c:v>137</c:v>
                </c:pt>
                <c:pt idx="10">
                  <c:v>172</c:v>
                </c:pt>
                <c:pt idx="11">
                  <c:v>179</c:v>
                </c:pt>
                <c:pt idx="12">
                  <c:v>197</c:v>
                </c:pt>
                <c:pt idx="13">
                  <c:v>212</c:v>
                </c:pt>
                <c:pt idx="14">
                  <c:v>184</c:v>
                </c:pt>
                <c:pt idx="15">
                  <c:v>200</c:v>
                </c:pt>
                <c:pt idx="16">
                  <c:v>203</c:v>
                </c:pt>
                <c:pt idx="17">
                  <c:v>216</c:v>
                </c:pt>
                <c:pt idx="18">
                  <c:v>223</c:v>
                </c:pt>
                <c:pt idx="19">
                  <c:v>221</c:v>
                </c:pt>
                <c:pt idx="20">
                  <c:v>231</c:v>
                </c:pt>
                <c:pt idx="21">
                  <c:v>271</c:v>
                </c:pt>
                <c:pt idx="22">
                  <c:v>331</c:v>
                </c:pt>
                <c:pt idx="23">
                  <c:v>329</c:v>
                </c:pt>
                <c:pt idx="24">
                  <c:v>378</c:v>
                </c:pt>
                <c:pt idx="25">
                  <c:v>405</c:v>
                </c:pt>
                <c:pt idx="26">
                  <c:v>385</c:v>
                </c:pt>
                <c:pt idx="27">
                  <c:v>407</c:v>
                </c:pt>
                <c:pt idx="28">
                  <c:v>414</c:v>
                </c:pt>
                <c:pt idx="29">
                  <c:v>477</c:v>
                </c:pt>
                <c:pt idx="30">
                  <c:v>474</c:v>
                </c:pt>
                <c:pt idx="31">
                  <c:v>451</c:v>
                </c:pt>
                <c:pt idx="32">
                  <c:v>502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Req2!$B$103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Req2!$C$103:$AI$103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13</c:v>
                </c:pt>
                <c:pt idx="10">
                  <c:v>30</c:v>
                </c:pt>
                <c:pt idx="11">
                  <c:v>42</c:v>
                </c:pt>
                <c:pt idx="12">
                  <c:v>45</c:v>
                </c:pt>
                <c:pt idx="13">
                  <c:v>75</c:v>
                </c:pt>
                <c:pt idx="14">
                  <c:v>66</c:v>
                </c:pt>
                <c:pt idx="15">
                  <c:v>76</c:v>
                </c:pt>
                <c:pt idx="16">
                  <c:v>103</c:v>
                </c:pt>
                <c:pt idx="17">
                  <c:v>103</c:v>
                </c:pt>
                <c:pt idx="18">
                  <c:v>104</c:v>
                </c:pt>
                <c:pt idx="19">
                  <c:v>126</c:v>
                </c:pt>
                <c:pt idx="20">
                  <c:v>123</c:v>
                </c:pt>
                <c:pt idx="21">
                  <c:v>147</c:v>
                </c:pt>
                <c:pt idx="22">
                  <c:v>150</c:v>
                </c:pt>
                <c:pt idx="23">
                  <c:v>119</c:v>
                </c:pt>
                <c:pt idx="24">
                  <c:v>142</c:v>
                </c:pt>
                <c:pt idx="25">
                  <c:v>141</c:v>
                </c:pt>
                <c:pt idx="26">
                  <c:v>141</c:v>
                </c:pt>
                <c:pt idx="27">
                  <c:v>142</c:v>
                </c:pt>
                <c:pt idx="28">
                  <c:v>140</c:v>
                </c:pt>
                <c:pt idx="29">
                  <c:v>159</c:v>
                </c:pt>
                <c:pt idx="30">
                  <c:v>154</c:v>
                </c:pt>
                <c:pt idx="31">
                  <c:v>139</c:v>
                </c:pt>
                <c:pt idx="32">
                  <c:v>161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Req2!$B$104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Req2!$C$104:$AI$104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15</c:v>
                </c:pt>
                <c:pt idx="22">
                  <c:v>32</c:v>
                </c:pt>
                <c:pt idx="23">
                  <c:v>33</c:v>
                </c:pt>
                <c:pt idx="24">
                  <c:v>47</c:v>
                </c:pt>
                <c:pt idx="25">
                  <c:v>53</c:v>
                </c:pt>
                <c:pt idx="26">
                  <c:v>57</c:v>
                </c:pt>
                <c:pt idx="27">
                  <c:v>59</c:v>
                </c:pt>
                <c:pt idx="28">
                  <c:v>65</c:v>
                </c:pt>
                <c:pt idx="29">
                  <c:v>74</c:v>
                </c:pt>
                <c:pt idx="30">
                  <c:v>65</c:v>
                </c:pt>
                <c:pt idx="31">
                  <c:v>65</c:v>
                </c:pt>
                <c:pt idx="32">
                  <c:v>78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Req2!$B$105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Req2!$C$105:$AI$105</c:f>
              <c:numCache>
                <c:ptCount val="33"/>
                <c:pt idx="0">
                  <c:v>5</c:v>
                </c:pt>
                <c:pt idx="1">
                  <c:v>11</c:v>
                </c:pt>
                <c:pt idx="2">
                  <c:v>8</c:v>
                </c:pt>
                <c:pt idx="3">
                  <c:v>6</c:v>
                </c:pt>
                <c:pt idx="4">
                  <c:v>7</c:v>
                </c:pt>
                <c:pt idx="5">
                  <c:v>11</c:v>
                </c:pt>
                <c:pt idx="6">
                  <c:v>13</c:v>
                </c:pt>
                <c:pt idx="7">
                  <c:v>10</c:v>
                </c:pt>
                <c:pt idx="8">
                  <c:v>12</c:v>
                </c:pt>
                <c:pt idx="9">
                  <c:v>9</c:v>
                </c:pt>
                <c:pt idx="10">
                  <c:v>10</c:v>
                </c:pt>
                <c:pt idx="11">
                  <c:v>9</c:v>
                </c:pt>
                <c:pt idx="12">
                  <c:v>15</c:v>
                </c:pt>
                <c:pt idx="13">
                  <c:v>11</c:v>
                </c:pt>
                <c:pt idx="14">
                  <c:v>12</c:v>
                </c:pt>
                <c:pt idx="15">
                  <c:v>14</c:v>
                </c:pt>
                <c:pt idx="16">
                  <c:v>13</c:v>
                </c:pt>
                <c:pt idx="17">
                  <c:v>12</c:v>
                </c:pt>
                <c:pt idx="18">
                  <c:v>11</c:v>
                </c:pt>
                <c:pt idx="19">
                  <c:v>12</c:v>
                </c:pt>
                <c:pt idx="20">
                  <c:v>16</c:v>
                </c:pt>
                <c:pt idx="21">
                  <c:v>14</c:v>
                </c:pt>
                <c:pt idx="22">
                  <c:v>10</c:v>
                </c:pt>
                <c:pt idx="23">
                  <c:v>12</c:v>
                </c:pt>
                <c:pt idx="24">
                  <c:v>11</c:v>
                </c:pt>
                <c:pt idx="25">
                  <c:v>15</c:v>
                </c:pt>
                <c:pt idx="26">
                  <c:v>12</c:v>
                </c:pt>
                <c:pt idx="27">
                  <c:v>15</c:v>
                </c:pt>
                <c:pt idx="28">
                  <c:v>16</c:v>
                </c:pt>
                <c:pt idx="29">
                  <c:v>19</c:v>
                </c:pt>
                <c:pt idx="30">
                  <c:v>17</c:v>
                </c:pt>
                <c:pt idx="31">
                  <c:v>12</c:v>
                </c:pt>
                <c:pt idx="32">
                  <c:v>14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Req2!$B$106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Req2!$C$106:$AI$106</c:f>
              <c:numCache>
                <c:ptCount val="33"/>
                <c:pt idx="0">
                  <c:v>988</c:v>
                </c:pt>
                <c:pt idx="1">
                  <c:v>1164</c:v>
                </c:pt>
                <c:pt idx="2">
                  <c:v>1052</c:v>
                </c:pt>
                <c:pt idx="3">
                  <c:v>1078</c:v>
                </c:pt>
                <c:pt idx="4">
                  <c:v>1102</c:v>
                </c:pt>
                <c:pt idx="5">
                  <c:v>1068</c:v>
                </c:pt>
                <c:pt idx="6">
                  <c:v>1147</c:v>
                </c:pt>
                <c:pt idx="7">
                  <c:v>1131</c:v>
                </c:pt>
                <c:pt idx="8">
                  <c:v>1101</c:v>
                </c:pt>
                <c:pt idx="9">
                  <c:v>1038</c:v>
                </c:pt>
                <c:pt idx="10">
                  <c:v>1178</c:v>
                </c:pt>
                <c:pt idx="11">
                  <c:v>1099</c:v>
                </c:pt>
                <c:pt idx="12">
                  <c:v>1143</c:v>
                </c:pt>
                <c:pt idx="13">
                  <c:v>1103</c:v>
                </c:pt>
                <c:pt idx="14">
                  <c:v>1059</c:v>
                </c:pt>
                <c:pt idx="15">
                  <c:v>1094</c:v>
                </c:pt>
                <c:pt idx="16">
                  <c:v>1111</c:v>
                </c:pt>
                <c:pt idx="17">
                  <c:v>1097</c:v>
                </c:pt>
                <c:pt idx="18">
                  <c:v>1123</c:v>
                </c:pt>
                <c:pt idx="19">
                  <c:v>1120</c:v>
                </c:pt>
                <c:pt idx="20">
                  <c:v>1073</c:v>
                </c:pt>
                <c:pt idx="21">
                  <c:v>1028</c:v>
                </c:pt>
                <c:pt idx="22">
                  <c:v>1102</c:v>
                </c:pt>
                <c:pt idx="23">
                  <c:v>982</c:v>
                </c:pt>
                <c:pt idx="24">
                  <c:v>1090</c:v>
                </c:pt>
                <c:pt idx="25">
                  <c:v>1078</c:v>
                </c:pt>
                <c:pt idx="26">
                  <c:v>992</c:v>
                </c:pt>
                <c:pt idx="27">
                  <c:v>1063</c:v>
                </c:pt>
                <c:pt idx="28">
                  <c:v>1032</c:v>
                </c:pt>
                <c:pt idx="29">
                  <c:v>1076</c:v>
                </c:pt>
                <c:pt idx="30">
                  <c:v>1053</c:v>
                </c:pt>
                <c:pt idx="31">
                  <c:v>1004</c:v>
                </c:pt>
                <c:pt idx="32">
                  <c:v>1075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Req2!$B$107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Req2!$C$107:$AI$107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Req2!$B$109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Req2!$C$96:$AI$96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Req2!$C$109:$AI$109</c:f>
              <c:numCache>
                <c:ptCount val="33"/>
                <c:pt idx="0">
                  <c:v>1751</c:v>
                </c:pt>
                <c:pt idx="1">
                  <c:v>1969</c:v>
                </c:pt>
                <c:pt idx="2">
                  <c:v>1943</c:v>
                </c:pt>
                <c:pt idx="3">
                  <c:v>1932</c:v>
                </c:pt>
                <c:pt idx="4">
                  <c:v>1875</c:v>
                </c:pt>
                <c:pt idx="5">
                  <c:v>1914</c:v>
                </c:pt>
                <c:pt idx="6">
                  <c:v>1996</c:v>
                </c:pt>
                <c:pt idx="7">
                  <c:v>1993</c:v>
                </c:pt>
                <c:pt idx="8">
                  <c:v>1932</c:v>
                </c:pt>
                <c:pt idx="9">
                  <c:v>1781</c:v>
                </c:pt>
                <c:pt idx="10">
                  <c:v>2024</c:v>
                </c:pt>
                <c:pt idx="11">
                  <c:v>1951</c:v>
                </c:pt>
                <c:pt idx="12">
                  <c:v>2002</c:v>
                </c:pt>
                <c:pt idx="13">
                  <c:v>1990</c:v>
                </c:pt>
                <c:pt idx="14">
                  <c:v>1928</c:v>
                </c:pt>
                <c:pt idx="15">
                  <c:v>1978</c:v>
                </c:pt>
                <c:pt idx="16">
                  <c:v>1925</c:v>
                </c:pt>
                <c:pt idx="17">
                  <c:v>1884</c:v>
                </c:pt>
                <c:pt idx="18">
                  <c:v>1987</c:v>
                </c:pt>
                <c:pt idx="19">
                  <c:v>2022</c:v>
                </c:pt>
                <c:pt idx="20">
                  <c:v>1957</c:v>
                </c:pt>
                <c:pt idx="21">
                  <c:v>1897</c:v>
                </c:pt>
                <c:pt idx="22">
                  <c:v>1982</c:v>
                </c:pt>
                <c:pt idx="23">
                  <c:v>1796</c:v>
                </c:pt>
                <c:pt idx="24">
                  <c:v>1981</c:v>
                </c:pt>
                <c:pt idx="25">
                  <c:v>1902</c:v>
                </c:pt>
                <c:pt idx="26">
                  <c:v>1852</c:v>
                </c:pt>
                <c:pt idx="27">
                  <c:v>1921</c:v>
                </c:pt>
                <c:pt idx="28">
                  <c:v>1847</c:v>
                </c:pt>
                <c:pt idx="29">
                  <c:v>1965</c:v>
                </c:pt>
                <c:pt idx="30">
                  <c:v>1904</c:v>
                </c:pt>
                <c:pt idx="31">
                  <c:v>1866</c:v>
                </c:pt>
                <c:pt idx="32">
                  <c:v>2073</c:v>
                </c:pt>
              </c:numCache>
            </c:numRef>
          </c:val>
          <c:smooth val="0"/>
        </c:ser>
        <c:marker val="1"/>
        <c:axId val="57574385"/>
        <c:axId val="48407418"/>
      </c:lineChart>
      <c:dateAx>
        <c:axId val="57574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407418"/>
        <c:crosses val="autoZero"/>
        <c:auto val="0"/>
        <c:noMultiLvlLbl val="0"/>
      </c:dateAx>
      <c:valAx>
        <c:axId val="48407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75743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5725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Part de marché %  unités mensuelles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- 549 médecins non visités au 16/01/2007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5225"/>
          <c:w val="0.7545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Req3!$B$115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Req3!$C$115:$AI$115</c:f>
              <c:numCache>
                <c:ptCount val="33"/>
                <c:pt idx="0">
                  <c:v>0.15197186636523485</c:v>
                </c:pt>
                <c:pt idx="1">
                  <c:v>0.15532393214796647</c:v>
                </c:pt>
                <c:pt idx="2">
                  <c:v>0.15223155103844455</c:v>
                </c:pt>
                <c:pt idx="3">
                  <c:v>0.15518744551002617</c:v>
                </c:pt>
                <c:pt idx="4">
                  <c:v>0.15076717811874582</c:v>
                </c:pt>
                <c:pt idx="5">
                  <c:v>0.14773488060700737</c:v>
                </c:pt>
                <c:pt idx="6">
                  <c:v>0.1449968795506553</c:v>
                </c:pt>
                <c:pt idx="7">
                  <c:v>0.14793889935132873</c:v>
                </c:pt>
                <c:pt idx="8">
                  <c:v>0.14239621423962143</c:v>
                </c:pt>
                <c:pt idx="9">
                  <c:v>0.14526315789473684</c:v>
                </c:pt>
                <c:pt idx="10">
                  <c:v>0.14100804079231222</c:v>
                </c:pt>
                <c:pt idx="11">
                  <c:v>0.14371880199667222</c:v>
                </c:pt>
                <c:pt idx="12">
                  <c:v>0.14265789998007572</c:v>
                </c:pt>
                <c:pt idx="13">
                  <c:v>0.14231001814150374</c:v>
                </c:pt>
                <c:pt idx="14">
                  <c:v>0.1528881254026197</c:v>
                </c:pt>
                <c:pt idx="15">
                  <c:v>0.1565252201761409</c:v>
                </c:pt>
                <c:pt idx="16">
                  <c:v>0.1524277811923786</c:v>
                </c:pt>
                <c:pt idx="17">
                  <c:v>0.15263938944244224</c:v>
                </c:pt>
                <c:pt idx="18">
                  <c:v>0.16072144288577153</c:v>
                </c:pt>
                <c:pt idx="19">
                  <c:v>0.16409227683049146</c:v>
                </c:pt>
                <c:pt idx="20">
                  <c:v>0.1603735282176208</c:v>
                </c:pt>
                <c:pt idx="21">
                  <c:v>0.1602577873254565</c:v>
                </c:pt>
                <c:pt idx="22">
                  <c:v>0.15768348623853212</c:v>
                </c:pt>
                <c:pt idx="23">
                  <c:v>0.1630170316301703</c:v>
                </c:pt>
                <c:pt idx="24">
                  <c:v>0.15711610486891386</c:v>
                </c:pt>
                <c:pt idx="25">
                  <c:v>0.15832521908471275</c:v>
                </c:pt>
                <c:pt idx="26">
                  <c:v>0.1655971848478576</c:v>
                </c:pt>
                <c:pt idx="27">
                  <c:v>0.15575664227955333</c:v>
                </c:pt>
                <c:pt idx="28">
                  <c:v>0.15742433475523054</c:v>
                </c:pt>
                <c:pt idx="29">
                  <c:v>0.150448964632582</c:v>
                </c:pt>
                <c:pt idx="30">
                  <c:v>0.153876582278481</c:v>
                </c:pt>
                <c:pt idx="31">
                  <c:v>0.15898807075277663</c:v>
                </c:pt>
                <c:pt idx="32">
                  <c:v>0.15327695560253699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Req3!$B$116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Req3!$C$116:$AI$116</c:f>
              <c:numCache>
                <c:ptCount val="33"/>
                <c:pt idx="0">
                  <c:v>0.31926651595076616</c:v>
                </c:pt>
                <c:pt idx="1">
                  <c:v>0.3102391171060699</c:v>
                </c:pt>
                <c:pt idx="2">
                  <c:v>0.3212549712770658</c:v>
                </c:pt>
                <c:pt idx="3">
                  <c:v>0.31756756756756754</c:v>
                </c:pt>
                <c:pt idx="4">
                  <c:v>0.3139871025127863</c:v>
                </c:pt>
                <c:pt idx="5">
                  <c:v>0.31667038607453696</c:v>
                </c:pt>
                <c:pt idx="6">
                  <c:v>0.31391720407738716</c:v>
                </c:pt>
                <c:pt idx="7">
                  <c:v>0.32015065913371</c:v>
                </c:pt>
                <c:pt idx="8">
                  <c:v>0.3177027317702732</c:v>
                </c:pt>
                <c:pt idx="9">
                  <c:v>0.29871345029239765</c:v>
                </c:pt>
                <c:pt idx="10">
                  <c:v>0.3147676014904883</c:v>
                </c:pt>
                <c:pt idx="11">
                  <c:v>0.2995008319467554</c:v>
                </c:pt>
                <c:pt idx="12">
                  <c:v>0.301255230125523</c:v>
                </c:pt>
                <c:pt idx="13">
                  <c:v>0.3019552509574683</c:v>
                </c:pt>
                <c:pt idx="14">
                  <c:v>0.29632810822417865</c:v>
                </c:pt>
                <c:pt idx="15">
                  <c:v>0.2902321857485989</c:v>
                </c:pt>
                <c:pt idx="16">
                  <c:v>0.28170456873591476</c:v>
                </c:pt>
                <c:pt idx="17">
                  <c:v>0.2794148823404706</c:v>
                </c:pt>
                <c:pt idx="18">
                  <c:v>0.27675350701402807</c:v>
                </c:pt>
                <c:pt idx="19">
                  <c:v>0.28445336008024075</c:v>
                </c:pt>
                <c:pt idx="20">
                  <c:v>0.27222898903775883</c:v>
                </c:pt>
                <c:pt idx="21">
                  <c:v>0.2736842105263158</c:v>
                </c:pt>
                <c:pt idx="22">
                  <c:v>0.2652905198776758</c:v>
                </c:pt>
                <c:pt idx="23">
                  <c:v>0.2618889626188896</c:v>
                </c:pt>
                <c:pt idx="24">
                  <c:v>0.26273408239700374</c:v>
                </c:pt>
                <c:pt idx="25">
                  <c:v>0.24907497565725414</c:v>
                </c:pt>
                <c:pt idx="26">
                  <c:v>0.24901676671496584</c:v>
                </c:pt>
                <c:pt idx="27">
                  <c:v>0.24874855602618406</c:v>
                </c:pt>
                <c:pt idx="28">
                  <c:v>0.24436319317489336</c:v>
                </c:pt>
                <c:pt idx="29">
                  <c:v>0.2431739050760491</c:v>
                </c:pt>
                <c:pt idx="30">
                  <c:v>0.2444620253164557</c:v>
                </c:pt>
                <c:pt idx="31">
                  <c:v>0.24084738790621144</c:v>
                </c:pt>
                <c:pt idx="32">
                  <c:v>0.24788583509513742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Req3!$B$117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Req3!$C$117:$AI$117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0.0009737098344693282</c:v>
                </c:pt>
                <c:pt idx="26">
                  <c:v>0.001448975367418754</c:v>
                </c:pt>
                <c:pt idx="27">
                  <c:v>0.0025028879476318828</c:v>
                </c:pt>
                <c:pt idx="28">
                  <c:v>0.002640666260410319</c:v>
                </c:pt>
                <c:pt idx="29">
                  <c:v>0.005314275242807403</c:v>
                </c:pt>
                <c:pt idx="30">
                  <c:v>0.004944620253164557</c:v>
                </c:pt>
                <c:pt idx="31">
                  <c:v>0.007404360345536816</c:v>
                </c:pt>
                <c:pt idx="32">
                  <c:v>0.00810429880197322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Req3!$B$118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Req3!$C$118:$AI$118</c:f>
              <c:numCache>
                <c:ptCount val="33"/>
                <c:pt idx="0">
                  <c:v>0.05752323536799799</c:v>
                </c:pt>
                <c:pt idx="1">
                  <c:v>0.054976497036582875</c:v>
                </c:pt>
                <c:pt idx="2">
                  <c:v>0.055457357490057445</c:v>
                </c:pt>
                <c:pt idx="3">
                  <c:v>0.054707933740191804</c:v>
                </c:pt>
                <c:pt idx="4">
                  <c:v>0.050922837447187015</c:v>
                </c:pt>
                <c:pt idx="5">
                  <c:v>0.05266681544298148</c:v>
                </c:pt>
                <c:pt idx="6">
                  <c:v>0.05055127938423133</c:v>
                </c:pt>
                <c:pt idx="7">
                  <c:v>0.05168445281439632</c:v>
                </c:pt>
                <c:pt idx="8">
                  <c:v>0.053559905355990534</c:v>
                </c:pt>
                <c:pt idx="9">
                  <c:v>0.05754385964912281</c:v>
                </c:pt>
                <c:pt idx="10">
                  <c:v>0.04961757207295548</c:v>
                </c:pt>
                <c:pt idx="11">
                  <c:v>0.05511647254575707</c:v>
                </c:pt>
                <c:pt idx="12">
                  <c:v>0.05220163379159195</c:v>
                </c:pt>
                <c:pt idx="13">
                  <c:v>0.0522072162870389</c:v>
                </c:pt>
                <c:pt idx="14">
                  <c:v>0.05196478419583423</c:v>
                </c:pt>
                <c:pt idx="15">
                  <c:v>0.0544435548438751</c:v>
                </c:pt>
                <c:pt idx="16">
                  <c:v>0.049170251997541485</c:v>
                </c:pt>
                <c:pt idx="17">
                  <c:v>0.05236379054483782</c:v>
                </c:pt>
                <c:pt idx="18">
                  <c:v>0.050100200400801605</c:v>
                </c:pt>
                <c:pt idx="19">
                  <c:v>0.051755265797392175</c:v>
                </c:pt>
                <c:pt idx="20">
                  <c:v>0.053796183516037356</c:v>
                </c:pt>
                <c:pt idx="21">
                  <c:v>0.047475832438238455</c:v>
                </c:pt>
                <c:pt idx="22">
                  <c:v>0.04988532110091743</c:v>
                </c:pt>
                <c:pt idx="23">
                  <c:v>0.0455651404556514</c:v>
                </c:pt>
                <c:pt idx="24">
                  <c:v>0.04925093632958801</c:v>
                </c:pt>
                <c:pt idx="25">
                  <c:v>0.04829600778967868</c:v>
                </c:pt>
                <c:pt idx="26">
                  <c:v>0.046574208238459945</c:v>
                </c:pt>
                <c:pt idx="27">
                  <c:v>0.046399691952252596</c:v>
                </c:pt>
                <c:pt idx="28">
                  <c:v>0.047735120861263455</c:v>
                </c:pt>
                <c:pt idx="29">
                  <c:v>0.04416345977643394</c:v>
                </c:pt>
                <c:pt idx="30">
                  <c:v>0.04667721518987342</c:v>
                </c:pt>
                <c:pt idx="31">
                  <c:v>0.045454545454545456</c:v>
                </c:pt>
                <c:pt idx="32">
                  <c:v>0.042283298097251586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Req3!$B$119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Req3!$C$119:$AI$119</c:f>
              <c:numCache>
                <c:ptCount val="33"/>
                <c:pt idx="0">
                  <c:v>0.20949510173323285</c:v>
                </c:pt>
                <c:pt idx="1">
                  <c:v>0.20314735336194564</c:v>
                </c:pt>
                <c:pt idx="2">
                  <c:v>0.19818824569155988</c:v>
                </c:pt>
                <c:pt idx="3">
                  <c:v>0.2088055797733217</c:v>
                </c:pt>
                <c:pt idx="4">
                  <c:v>0.20858350011118523</c:v>
                </c:pt>
                <c:pt idx="5">
                  <c:v>0.20464182102209327</c:v>
                </c:pt>
                <c:pt idx="6">
                  <c:v>0.20698980653214064</c:v>
                </c:pt>
                <c:pt idx="7">
                  <c:v>0.20966729441305712</c:v>
                </c:pt>
                <c:pt idx="8">
                  <c:v>0.21510002151000215</c:v>
                </c:pt>
                <c:pt idx="9">
                  <c:v>0.21707602339181287</c:v>
                </c:pt>
                <c:pt idx="10">
                  <c:v>0.2096489507746617</c:v>
                </c:pt>
                <c:pt idx="11">
                  <c:v>0.2175540765391015</c:v>
                </c:pt>
                <c:pt idx="12">
                  <c:v>0.21299063558477785</c:v>
                </c:pt>
                <c:pt idx="13">
                  <c:v>0.21306188268494256</c:v>
                </c:pt>
                <c:pt idx="14">
                  <c:v>0.21043590294180803</c:v>
                </c:pt>
                <c:pt idx="15">
                  <c:v>0.20376301040832667</c:v>
                </c:pt>
                <c:pt idx="16">
                  <c:v>0.20856381888957182</c:v>
                </c:pt>
                <c:pt idx="17">
                  <c:v>0.20161119355522578</c:v>
                </c:pt>
                <c:pt idx="18">
                  <c:v>0.20841683366733466</c:v>
                </c:pt>
                <c:pt idx="19">
                  <c:v>0.19077231695085256</c:v>
                </c:pt>
                <c:pt idx="20">
                  <c:v>0.2050345107592367</c:v>
                </c:pt>
                <c:pt idx="21">
                  <c:v>0.19591836734693877</c:v>
                </c:pt>
                <c:pt idx="22">
                  <c:v>0.19629204892966362</c:v>
                </c:pt>
                <c:pt idx="23">
                  <c:v>0.19619553196195533</c:v>
                </c:pt>
                <c:pt idx="24">
                  <c:v>0.1945692883895131</c:v>
                </c:pt>
                <c:pt idx="25">
                  <c:v>0.19746835443037974</c:v>
                </c:pt>
                <c:pt idx="26">
                  <c:v>0.19954460774166838</c:v>
                </c:pt>
                <c:pt idx="27">
                  <c:v>0.19888332691567193</c:v>
                </c:pt>
                <c:pt idx="28">
                  <c:v>0.19642494413975217</c:v>
                </c:pt>
                <c:pt idx="29">
                  <c:v>0.1918636613523914</c:v>
                </c:pt>
                <c:pt idx="30">
                  <c:v>0.18888449367088608</c:v>
                </c:pt>
                <c:pt idx="31">
                  <c:v>0.19765528589058</c:v>
                </c:pt>
                <c:pt idx="32">
                  <c:v>0.19467935165609584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Req3!$B$120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Req3!$C$120:$AI$120</c:f>
              <c:numCache>
                <c:ptCount val="33"/>
                <c:pt idx="0">
                  <c:v>0.016578749058025623</c:v>
                </c:pt>
                <c:pt idx="1">
                  <c:v>0.028203556100551808</c:v>
                </c:pt>
                <c:pt idx="2">
                  <c:v>0.03314184710561202</c:v>
                </c:pt>
                <c:pt idx="3">
                  <c:v>0.02855274629468178</c:v>
                </c:pt>
                <c:pt idx="4">
                  <c:v>0.03291082944185012</c:v>
                </c:pt>
                <c:pt idx="5">
                  <c:v>0.034367328721267576</c:v>
                </c:pt>
                <c:pt idx="6">
                  <c:v>0.03515706261701685</c:v>
                </c:pt>
                <c:pt idx="7">
                  <c:v>0.027830089976982633</c:v>
                </c:pt>
                <c:pt idx="8">
                  <c:v>0.032265003226500326</c:v>
                </c:pt>
                <c:pt idx="9">
                  <c:v>0.03415204678362573</c:v>
                </c:pt>
                <c:pt idx="10">
                  <c:v>0.03706609139046872</c:v>
                </c:pt>
                <c:pt idx="11">
                  <c:v>0.039725457570715474</c:v>
                </c:pt>
                <c:pt idx="12">
                  <c:v>0.043833432954771864</c:v>
                </c:pt>
                <c:pt idx="13">
                  <c:v>0.045353759322717194</c:v>
                </c:pt>
                <c:pt idx="14">
                  <c:v>0.04230191110156753</c:v>
                </c:pt>
                <c:pt idx="15">
                  <c:v>0.04623698959167334</c:v>
                </c:pt>
                <c:pt idx="16">
                  <c:v>0.04527760704773612</c:v>
                </c:pt>
                <c:pt idx="17">
                  <c:v>0.05066779732881069</c:v>
                </c:pt>
                <c:pt idx="18">
                  <c:v>0.049298597194388775</c:v>
                </c:pt>
                <c:pt idx="19">
                  <c:v>0.04874623871614844</c:v>
                </c:pt>
                <c:pt idx="20">
                  <c:v>0.051969143321153065</c:v>
                </c:pt>
                <c:pt idx="21">
                  <c:v>0.06272824919441461</c:v>
                </c:pt>
                <c:pt idx="22">
                  <c:v>0.0724388379204893</c:v>
                </c:pt>
                <c:pt idx="23">
                  <c:v>0.07830126078301261</c:v>
                </c:pt>
                <c:pt idx="24">
                  <c:v>0.08108614232209738</c:v>
                </c:pt>
                <c:pt idx="25">
                  <c:v>0.08685491723466407</c:v>
                </c:pt>
                <c:pt idx="26">
                  <c:v>0.08590353963982612</c:v>
                </c:pt>
                <c:pt idx="27">
                  <c:v>0.08817866769349249</c:v>
                </c:pt>
                <c:pt idx="28">
                  <c:v>0.09018890920170627</c:v>
                </c:pt>
                <c:pt idx="29">
                  <c:v>0.09987172439069085</c:v>
                </c:pt>
                <c:pt idx="30">
                  <c:v>0.10087025316455696</c:v>
                </c:pt>
                <c:pt idx="31">
                  <c:v>0.09872480460715755</c:v>
                </c:pt>
                <c:pt idx="32">
                  <c:v>0.10271317829457365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Req3!$B$121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Req3!$C$121:$AI$121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0.0010755001075500108</c:v>
                </c:pt>
                <c:pt idx="9">
                  <c:v>0.0030409356725146198</c:v>
                </c:pt>
                <c:pt idx="10">
                  <c:v>0.006079623455579526</c:v>
                </c:pt>
                <c:pt idx="11">
                  <c:v>0.00894342762063228</c:v>
                </c:pt>
                <c:pt idx="12">
                  <c:v>0.010161386730424387</c:v>
                </c:pt>
                <c:pt idx="13">
                  <c:v>0.01612578109252167</c:v>
                </c:pt>
                <c:pt idx="14">
                  <c:v>0.015245866437620785</c:v>
                </c:pt>
                <c:pt idx="15">
                  <c:v>0.017413931144915934</c:v>
                </c:pt>
                <c:pt idx="16">
                  <c:v>0.022741241548862937</c:v>
                </c:pt>
                <c:pt idx="17">
                  <c:v>0.024379902480390077</c:v>
                </c:pt>
                <c:pt idx="18">
                  <c:v>0.022444889779559118</c:v>
                </c:pt>
                <c:pt idx="19">
                  <c:v>0.02708124373119358</c:v>
                </c:pt>
                <c:pt idx="20">
                  <c:v>0.028623629719853837</c:v>
                </c:pt>
                <c:pt idx="21">
                  <c:v>0.034156820622986035</c:v>
                </c:pt>
                <c:pt idx="22">
                  <c:v>0.03211009174311927</c:v>
                </c:pt>
                <c:pt idx="23">
                  <c:v>0.028312320283123204</c:v>
                </c:pt>
                <c:pt idx="24">
                  <c:v>0.030337078651685393</c:v>
                </c:pt>
                <c:pt idx="25">
                  <c:v>0.031742940603700094</c:v>
                </c:pt>
                <c:pt idx="26">
                  <c:v>0.03229145104533223</c:v>
                </c:pt>
                <c:pt idx="27">
                  <c:v>0.030612244897959183</c:v>
                </c:pt>
                <c:pt idx="28">
                  <c:v>0.03148486695104611</c:v>
                </c:pt>
                <c:pt idx="29">
                  <c:v>0.034634414513468936</c:v>
                </c:pt>
                <c:pt idx="30">
                  <c:v>0.03540348101265823</c:v>
                </c:pt>
                <c:pt idx="31">
                  <c:v>0.030234471410941998</c:v>
                </c:pt>
                <c:pt idx="32">
                  <c:v>0.03312191684284708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Req3!$B$122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Req3!$C$122:$AI$122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0.0004060089321965083</c:v>
                </c:pt>
                <c:pt idx="21">
                  <c:v>0.0034371643394199786</c:v>
                </c:pt>
                <c:pt idx="22">
                  <c:v>0.0066896024464831805</c:v>
                </c:pt>
                <c:pt idx="23">
                  <c:v>0.007520460075204601</c:v>
                </c:pt>
                <c:pt idx="24">
                  <c:v>0.009737827715355805</c:v>
                </c:pt>
                <c:pt idx="25">
                  <c:v>0.010710808179162609</c:v>
                </c:pt>
                <c:pt idx="26">
                  <c:v>0.01345477126888843</c:v>
                </c:pt>
                <c:pt idx="27">
                  <c:v>0.012514439738159414</c:v>
                </c:pt>
                <c:pt idx="28">
                  <c:v>0.014218972171440178</c:v>
                </c:pt>
                <c:pt idx="29">
                  <c:v>0.015759574857980574</c:v>
                </c:pt>
                <c:pt idx="30">
                  <c:v>0.013844936708860759</c:v>
                </c:pt>
                <c:pt idx="31">
                  <c:v>0.013574660633484163</c:v>
                </c:pt>
                <c:pt idx="32">
                  <c:v>0.01603241719520789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Req3!$B$123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Req3!$C$123:$AI$123</c:f>
              <c:numCache>
                <c:ptCount val="33"/>
                <c:pt idx="0">
                  <c:v>0.0012559658377292139</c:v>
                </c:pt>
                <c:pt idx="1">
                  <c:v>0.002248109544246883</c:v>
                </c:pt>
                <c:pt idx="2">
                  <c:v>0.0017675651789659744</c:v>
                </c:pt>
                <c:pt idx="3">
                  <c:v>0.0015257192676547515</c:v>
                </c:pt>
                <c:pt idx="4">
                  <c:v>0.00155659328441183</c:v>
                </c:pt>
                <c:pt idx="5">
                  <c:v>0.002901138138808302</c:v>
                </c:pt>
                <c:pt idx="6">
                  <c:v>0.0027043894320782193</c:v>
                </c:pt>
                <c:pt idx="7">
                  <c:v>0.002092487968194183</c:v>
                </c:pt>
                <c:pt idx="8">
                  <c:v>0.00301140030114003</c:v>
                </c:pt>
                <c:pt idx="9">
                  <c:v>0.002105263157894737</c:v>
                </c:pt>
                <c:pt idx="10">
                  <c:v>0.002353402627966268</c:v>
                </c:pt>
                <c:pt idx="11">
                  <c:v>0.0022878535773710484</c:v>
                </c:pt>
                <c:pt idx="12">
                  <c:v>0.0033871289101414623</c:v>
                </c:pt>
                <c:pt idx="13">
                  <c:v>0.0022172949002217295</c:v>
                </c:pt>
                <c:pt idx="14">
                  <c:v>0.002576766158471119</c:v>
                </c:pt>
                <c:pt idx="15">
                  <c:v>0.0028022417934347476</c:v>
                </c:pt>
                <c:pt idx="16">
                  <c:v>0.003278016799836099</c:v>
                </c:pt>
                <c:pt idx="17">
                  <c:v>0.002755988976044096</c:v>
                </c:pt>
                <c:pt idx="18">
                  <c:v>0.0022044088176352704</c:v>
                </c:pt>
                <c:pt idx="19">
                  <c:v>0.0028084252758274826</c:v>
                </c:pt>
                <c:pt idx="20">
                  <c:v>0.0036540803897685747</c:v>
                </c:pt>
                <c:pt idx="21">
                  <c:v>0.0030075187969924814</c:v>
                </c:pt>
                <c:pt idx="22">
                  <c:v>0.00191131498470948</c:v>
                </c:pt>
                <c:pt idx="23">
                  <c:v>0.0026542800265428003</c:v>
                </c:pt>
                <c:pt idx="24">
                  <c:v>0.0026217228464419477</c:v>
                </c:pt>
                <c:pt idx="25">
                  <c:v>0.0029211295034079843</c:v>
                </c:pt>
                <c:pt idx="26">
                  <c:v>0.002483957772717864</c:v>
                </c:pt>
                <c:pt idx="27">
                  <c:v>0.0034655371582595304</c:v>
                </c:pt>
                <c:pt idx="28">
                  <c:v>0.0032500507820434695</c:v>
                </c:pt>
                <c:pt idx="29">
                  <c:v>0.0038482682792743265</c:v>
                </c:pt>
                <c:pt idx="30">
                  <c:v>0.003560126582278481</c:v>
                </c:pt>
                <c:pt idx="31">
                  <c:v>0.0024681201151789387</c:v>
                </c:pt>
                <c:pt idx="32">
                  <c:v>0.0029950669485553204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Req3!$B$124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Req3!$C$124:$AI$124</c:f>
              <c:numCache>
                <c:ptCount val="33"/>
                <c:pt idx="0">
                  <c:v>0.2439085656870133</c:v>
                </c:pt>
                <c:pt idx="1">
                  <c:v>0.2458614347026364</c:v>
                </c:pt>
                <c:pt idx="2">
                  <c:v>0.2379584622182943</c:v>
                </c:pt>
                <c:pt idx="3">
                  <c:v>0.23365300784655624</c:v>
                </c:pt>
                <c:pt idx="4">
                  <c:v>0.24127195908383367</c:v>
                </c:pt>
                <c:pt idx="5">
                  <c:v>0.24101762999330506</c:v>
                </c:pt>
                <c:pt idx="6">
                  <c:v>0.24568337840649054</c:v>
                </c:pt>
                <c:pt idx="7">
                  <c:v>0.24063611634233104</c:v>
                </c:pt>
                <c:pt idx="8">
                  <c:v>0.23488922348892236</c:v>
                </c:pt>
                <c:pt idx="9">
                  <c:v>0.24210526315789474</c:v>
                </c:pt>
                <c:pt idx="10">
                  <c:v>0.23945871739556776</c:v>
                </c:pt>
                <c:pt idx="11">
                  <c:v>0.233153078202995</c:v>
                </c:pt>
                <c:pt idx="12">
                  <c:v>0.23351265192269377</c:v>
                </c:pt>
                <c:pt idx="13">
                  <c:v>0.22676879661358598</c:v>
                </c:pt>
                <c:pt idx="14">
                  <c:v>0.22825853553789993</c:v>
                </c:pt>
                <c:pt idx="15">
                  <c:v>0.22858286629303443</c:v>
                </c:pt>
                <c:pt idx="16">
                  <c:v>0.23683671378815815</c:v>
                </c:pt>
                <c:pt idx="17">
                  <c:v>0.23616705533177867</c:v>
                </c:pt>
                <c:pt idx="18">
                  <c:v>0.23006012024048098</c:v>
                </c:pt>
                <c:pt idx="19">
                  <c:v>0.23029087261785355</c:v>
                </c:pt>
                <c:pt idx="20">
                  <c:v>0.22391392610637434</c:v>
                </c:pt>
                <c:pt idx="21">
                  <c:v>0.21933404940923737</c:v>
                </c:pt>
                <c:pt idx="22">
                  <c:v>0.2176987767584098</c:v>
                </c:pt>
                <c:pt idx="23">
                  <c:v>0.21654501216545013</c:v>
                </c:pt>
                <c:pt idx="24">
                  <c:v>0.21254681647940074</c:v>
                </c:pt>
                <c:pt idx="25">
                  <c:v>0.2136319376825706</c:v>
                </c:pt>
                <c:pt idx="26">
                  <c:v>0.20368453736286482</c:v>
                </c:pt>
                <c:pt idx="27">
                  <c:v>0.21293800539083557</c:v>
                </c:pt>
                <c:pt idx="28">
                  <c:v>0.2122689417022141</c:v>
                </c:pt>
                <c:pt idx="29">
                  <c:v>0.21092175187832143</c:v>
                </c:pt>
                <c:pt idx="30">
                  <c:v>0.2074762658227848</c:v>
                </c:pt>
                <c:pt idx="31">
                  <c:v>0.204648292883587</c:v>
                </c:pt>
                <c:pt idx="32">
                  <c:v>0.19802677942212826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Req3!$B$125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Req3!$C$125:$AI$125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0.0008809020436927414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Req3!$B$127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Req3!$C$114:$AI$114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Req3!$C$127:$AI$127</c:f>
              <c:numCache>
                <c:ptCount val="33"/>
                <c:pt idx="0">
                  <c:v>0.471238382316001</c:v>
                </c:pt>
                <c:pt idx="1">
                  <c:v>0.46556304925403635</c:v>
                </c:pt>
                <c:pt idx="2">
                  <c:v>0.47348652231551036</c:v>
                </c:pt>
                <c:pt idx="3">
                  <c:v>0.4727550130775937</c:v>
                </c:pt>
                <c:pt idx="4">
                  <c:v>0.4647542806315321</c:v>
                </c:pt>
                <c:pt idx="5">
                  <c:v>0.4644052666815443</c:v>
                </c:pt>
                <c:pt idx="6">
                  <c:v>0.4589140836280424</c:v>
                </c:pt>
                <c:pt idx="7">
                  <c:v>0.4680895584850387</c:v>
                </c:pt>
                <c:pt idx="8">
                  <c:v>0.4600989460098946</c:v>
                </c:pt>
                <c:pt idx="9">
                  <c:v>0.4439766081871345</c:v>
                </c:pt>
                <c:pt idx="10">
                  <c:v>0.45577564228280054</c:v>
                </c:pt>
                <c:pt idx="11">
                  <c:v>0.4432196339434276</c:v>
                </c:pt>
                <c:pt idx="12">
                  <c:v>0.44391313010559874</c:v>
                </c:pt>
                <c:pt idx="13">
                  <c:v>0.44426526909897196</c:v>
                </c:pt>
                <c:pt idx="14">
                  <c:v>0.44921623362679836</c:v>
                </c:pt>
                <c:pt idx="15">
                  <c:v>0.4467574059247398</c:v>
                </c:pt>
                <c:pt idx="16">
                  <c:v>0.43413234992829336</c:v>
                </c:pt>
                <c:pt idx="17">
                  <c:v>0.4320542717829129</c:v>
                </c:pt>
                <c:pt idx="18">
                  <c:v>0.4374749498997996</c:v>
                </c:pt>
                <c:pt idx="19">
                  <c:v>0.4485456369107322</c:v>
                </c:pt>
                <c:pt idx="20">
                  <c:v>0.4326025172553796</c:v>
                </c:pt>
                <c:pt idx="21">
                  <c:v>0.4339419978517723</c:v>
                </c:pt>
                <c:pt idx="22">
                  <c:v>0.42297400611620795</c:v>
                </c:pt>
                <c:pt idx="23">
                  <c:v>0.42490599424905995</c:v>
                </c:pt>
                <c:pt idx="24">
                  <c:v>0.4198501872659176</c:v>
                </c:pt>
                <c:pt idx="25">
                  <c:v>0.40837390457643624</c:v>
                </c:pt>
                <c:pt idx="26">
                  <c:v>0.41606292693024216</c:v>
                </c:pt>
                <c:pt idx="27">
                  <c:v>0.40700808625336926</c:v>
                </c:pt>
                <c:pt idx="28">
                  <c:v>0.4044281941905342</c:v>
                </c:pt>
                <c:pt idx="29">
                  <c:v>0.3989371449514385</c:v>
                </c:pt>
                <c:pt idx="30">
                  <c:v>0.4032832278481013</c:v>
                </c:pt>
                <c:pt idx="31">
                  <c:v>0.4072398190045249</c:v>
                </c:pt>
                <c:pt idx="32">
                  <c:v>0.40926708949964763</c:v>
                </c:pt>
              </c:numCache>
            </c:numRef>
          </c:val>
          <c:smooth val="0"/>
        </c:ser>
        <c:marker val="1"/>
        <c:axId val="33013579"/>
        <c:axId val="28686756"/>
      </c:lineChart>
      <c:dateAx>
        <c:axId val="33013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438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8686756"/>
        <c:crosses val="autoZero"/>
        <c:auto val="0"/>
        <c:noMultiLvlLbl val="0"/>
      </c:dateAx>
      <c:valAx>
        <c:axId val="28686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Nbre de boites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30135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46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Nombres de boites  mensuelles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- 549 médecins non visités au 16/01/2007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73"/>
          <c:w val="0.753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Req3!$B$97</c:f>
              <c:strCache>
                <c:ptCount val="1"/>
                <c:pt idx="0">
                  <c:v>Simvastatine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Req3!$C$97:$AI$97</c:f>
              <c:numCache>
                <c:ptCount val="33"/>
                <c:pt idx="0">
                  <c:v>605</c:v>
                </c:pt>
                <c:pt idx="1">
                  <c:v>760</c:v>
                </c:pt>
                <c:pt idx="2">
                  <c:v>689</c:v>
                </c:pt>
                <c:pt idx="3">
                  <c:v>712</c:v>
                </c:pt>
                <c:pt idx="4">
                  <c:v>678</c:v>
                </c:pt>
                <c:pt idx="5">
                  <c:v>662</c:v>
                </c:pt>
                <c:pt idx="6">
                  <c:v>697</c:v>
                </c:pt>
                <c:pt idx="7">
                  <c:v>707</c:v>
                </c:pt>
                <c:pt idx="8">
                  <c:v>662</c:v>
                </c:pt>
                <c:pt idx="9">
                  <c:v>621</c:v>
                </c:pt>
                <c:pt idx="10">
                  <c:v>719</c:v>
                </c:pt>
                <c:pt idx="11">
                  <c:v>691</c:v>
                </c:pt>
                <c:pt idx="12">
                  <c:v>716</c:v>
                </c:pt>
                <c:pt idx="13">
                  <c:v>706</c:v>
                </c:pt>
                <c:pt idx="14">
                  <c:v>712</c:v>
                </c:pt>
                <c:pt idx="15">
                  <c:v>782</c:v>
                </c:pt>
                <c:pt idx="16">
                  <c:v>744</c:v>
                </c:pt>
                <c:pt idx="17">
                  <c:v>720</c:v>
                </c:pt>
                <c:pt idx="18">
                  <c:v>802</c:v>
                </c:pt>
                <c:pt idx="19">
                  <c:v>818</c:v>
                </c:pt>
                <c:pt idx="20">
                  <c:v>790</c:v>
                </c:pt>
                <c:pt idx="21">
                  <c:v>746</c:v>
                </c:pt>
                <c:pt idx="22">
                  <c:v>825</c:v>
                </c:pt>
                <c:pt idx="23">
                  <c:v>737</c:v>
                </c:pt>
                <c:pt idx="24">
                  <c:v>839</c:v>
                </c:pt>
                <c:pt idx="25">
                  <c:v>813</c:v>
                </c:pt>
                <c:pt idx="26">
                  <c:v>800</c:v>
                </c:pt>
                <c:pt idx="27">
                  <c:v>809</c:v>
                </c:pt>
                <c:pt idx="28">
                  <c:v>775</c:v>
                </c:pt>
                <c:pt idx="29">
                  <c:v>821</c:v>
                </c:pt>
                <c:pt idx="30">
                  <c:v>778</c:v>
                </c:pt>
                <c:pt idx="31">
                  <c:v>773</c:v>
                </c:pt>
                <c:pt idx="32">
                  <c:v>870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Req3!$B$98</c:f>
              <c:strCache>
                <c:ptCount val="1"/>
                <c:pt idx="0">
                  <c:v>Pravastatine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Req3!$C$98:$AI$98</c:f>
              <c:numCache>
                <c:ptCount val="33"/>
                <c:pt idx="0">
                  <c:v>1271</c:v>
                </c:pt>
                <c:pt idx="1">
                  <c:v>1518</c:v>
                </c:pt>
                <c:pt idx="2">
                  <c:v>1454</c:v>
                </c:pt>
                <c:pt idx="3">
                  <c:v>1457</c:v>
                </c:pt>
                <c:pt idx="4">
                  <c:v>1412</c:v>
                </c:pt>
                <c:pt idx="5">
                  <c:v>1419</c:v>
                </c:pt>
                <c:pt idx="6">
                  <c:v>1509</c:v>
                </c:pt>
                <c:pt idx="7">
                  <c:v>1530</c:v>
                </c:pt>
                <c:pt idx="8">
                  <c:v>1477</c:v>
                </c:pt>
                <c:pt idx="9">
                  <c:v>1277</c:v>
                </c:pt>
                <c:pt idx="10">
                  <c:v>1605</c:v>
                </c:pt>
                <c:pt idx="11">
                  <c:v>1440</c:v>
                </c:pt>
                <c:pt idx="12">
                  <c:v>1512</c:v>
                </c:pt>
                <c:pt idx="13">
                  <c:v>1498</c:v>
                </c:pt>
                <c:pt idx="14">
                  <c:v>1380</c:v>
                </c:pt>
                <c:pt idx="15">
                  <c:v>1450</c:v>
                </c:pt>
                <c:pt idx="16">
                  <c:v>1375</c:v>
                </c:pt>
                <c:pt idx="17">
                  <c:v>1318</c:v>
                </c:pt>
                <c:pt idx="18">
                  <c:v>1381</c:v>
                </c:pt>
                <c:pt idx="19">
                  <c:v>1418</c:v>
                </c:pt>
                <c:pt idx="20">
                  <c:v>1341</c:v>
                </c:pt>
                <c:pt idx="21">
                  <c:v>1274</c:v>
                </c:pt>
                <c:pt idx="22">
                  <c:v>1388</c:v>
                </c:pt>
                <c:pt idx="23">
                  <c:v>1184</c:v>
                </c:pt>
                <c:pt idx="24">
                  <c:v>1403</c:v>
                </c:pt>
                <c:pt idx="25">
                  <c:v>1279</c:v>
                </c:pt>
                <c:pt idx="26">
                  <c:v>1203</c:v>
                </c:pt>
                <c:pt idx="27">
                  <c:v>1292</c:v>
                </c:pt>
                <c:pt idx="28">
                  <c:v>1203</c:v>
                </c:pt>
                <c:pt idx="29">
                  <c:v>1327</c:v>
                </c:pt>
                <c:pt idx="30">
                  <c:v>1236</c:v>
                </c:pt>
                <c:pt idx="31">
                  <c:v>1171</c:v>
                </c:pt>
                <c:pt idx="32">
                  <c:v>1407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Req3!$B$99</c:f>
              <c:strCache>
                <c:ptCount val="1"/>
                <c:pt idx="0">
                  <c:v>PRAVADUAL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Req3!$C$99:$AI$99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7</c:v>
                </c:pt>
                <c:pt idx="27">
                  <c:v>13</c:v>
                </c:pt>
                <c:pt idx="28">
                  <c:v>13</c:v>
                </c:pt>
                <c:pt idx="29">
                  <c:v>29</c:v>
                </c:pt>
                <c:pt idx="30">
                  <c:v>25</c:v>
                </c:pt>
                <c:pt idx="31">
                  <c:v>36</c:v>
                </c:pt>
                <c:pt idx="32">
                  <c:v>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Req3!$B$100</c:f>
              <c:strCache>
                <c:ptCount val="1"/>
                <c:pt idx="0">
                  <c:v>Fluvastatine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Req3!$C$100:$AI$100</c:f>
              <c:numCache>
                <c:ptCount val="33"/>
                <c:pt idx="0">
                  <c:v>229</c:v>
                </c:pt>
                <c:pt idx="1">
                  <c:v>269</c:v>
                </c:pt>
                <c:pt idx="2">
                  <c:v>251</c:v>
                </c:pt>
                <c:pt idx="3">
                  <c:v>251</c:v>
                </c:pt>
                <c:pt idx="4">
                  <c:v>229</c:v>
                </c:pt>
                <c:pt idx="5">
                  <c:v>236</c:v>
                </c:pt>
                <c:pt idx="6">
                  <c:v>243</c:v>
                </c:pt>
                <c:pt idx="7">
                  <c:v>247</c:v>
                </c:pt>
                <c:pt idx="8">
                  <c:v>249</c:v>
                </c:pt>
                <c:pt idx="9">
                  <c:v>246</c:v>
                </c:pt>
                <c:pt idx="10">
                  <c:v>253</c:v>
                </c:pt>
                <c:pt idx="11">
                  <c:v>265</c:v>
                </c:pt>
                <c:pt idx="12">
                  <c:v>262</c:v>
                </c:pt>
                <c:pt idx="13">
                  <c:v>259</c:v>
                </c:pt>
                <c:pt idx="14">
                  <c:v>242</c:v>
                </c:pt>
                <c:pt idx="15">
                  <c:v>272</c:v>
                </c:pt>
                <c:pt idx="16">
                  <c:v>240</c:v>
                </c:pt>
                <c:pt idx="17">
                  <c:v>247</c:v>
                </c:pt>
                <c:pt idx="18">
                  <c:v>250</c:v>
                </c:pt>
                <c:pt idx="19">
                  <c:v>258</c:v>
                </c:pt>
                <c:pt idx="20">
                  <c:v>265</c:v>
                </c:pt>
                <c:pt idx="21">
                  <c:v>221</c:v>
                </c:pt>
                <c:pt idx="22">
                  <c:v>261</c:v>
                </c:pt>
                <c:pt idx="23">
                  <c:v>206</c:v>
                </c:pt>
                <c:pt idx="24">
                  <c:v>263</c:v>
                </c:pt>
                <c:pt idx="25">
                  <c:v>248</c:v>
                </c:pt>
                <c:pt idx="26">
                  <c:v>225</c:v>
                </c:pt>
                <c:pt idx="27">
                  <c:v>241</c:v>
                </c:pt>
                <c:pt idx="28">
                  <c:v>235</c:v>
                </c:pt>
                <c:pt idx="29">
                  <c:v>241</c:v>
                </c:pt>
                <c:pt idx="30">
                  <c:v>236</c:v>
                </c:pt>
                <c:pt idx="31">
                  <c:v>221</c:v>
                </c:pt>
                <c:pt idx="32">
                  <c:v>240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Req3!$B$101</c:f>
              <c:strCache>
                <c:ptCount val="1"/>
                <c:pt idx="0">
                  <c:v>TAHOR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Req3!$C$101:$AI$101</c:f>
              <c:numCache>
                <c:ptCount val="33"/>
                <c:pt idx="0">
                  <c:v>834</c:v>
                </c:pt>
                <c:pt idx="1">
                  <c:v>994</c:v>
                </c:pt>
                <c:pt idx="2">
                  <c:v>897</c:v>
                </c:pt>
                <c:pt idx="3">
                  <c:v>958</c:v>
                </c:pt>
                <c:pt idx="4">
                  <c:v>938</c:v>
                </c:pt>
                <c:pt idx="5">
                  <c:v>917</c:v>
                </c:pt>
                <c:pt idx="6">
                  <c:v>995</c:v>
                </c:pt>
                <c:pt idx="7">
                  <c:v>1002</c:v>
                </c:pt>
                <c:pt idx="8">
                  <c:v>1000</c:v>
                </c:pt>
                <c:pt idx="9">
                  <c:v>928</c:v>
                </c:pt>
                <c:pt idx="10">
                  <c:v>1069</c:v>
                </c:pt>
                <c:pt idx="11">
                  <c:v>1046</c:v>
                </c:pt>
                <c:pt idx="12">
                  <c:v>1069</c:v>
                </c:pt>
                <c:pt idx="13">
                  <c:v>1057</c:v>
                </c:pt>
                <c:pt idx="14">
                  <c:v>980</c:v>
                </c:pt>
                <c:pt idx="15">
                  <c:v>1018</c:v>
                </c:pt>
                <c:pt idx="16">
                  <c:v>1018</c:v>
                </c:pt>
                <c:pt idx="17">
                  <c:v>951</c:v>
                </c:pt>
                <c:pt idx="18">
                  <c:v>1040</c:v>
                </c:pt>
                <c:pt idx="19">
                  <c:v>951</c:v>
                </c:pt>
                <c:pt idx="20">
                  <c:v>1010</c:v>
                </c:pt>
                <c:pt idx="21">
                  <c:v>912</c:v>
                </c:pt>
                <c:pt idx="22">
                  <c:v>1027</c:v>
                </c:pt>
                <c:pt idx="23">
                  <c:v>887</c:v>
                </c:pt>
                <c:pt idx="24">
                  <c:v>1039</c:v>
                </c:pt>
                <c:pt idx="25">
                  <c:v>1014</c:v>
                </c:pt>
                <c:pt idx="26">
                  <c:v>964</c:v>
                </c:pt>
                <c:pt idx="27">
                  <c:v>1033</c:v>
                </c:pt>
                <c:pt idx="28">
                  <c:v>967</c:v>
                </c:pt>
                <c:pt idx="29">
                  <c:v>1047</c:v>
                </c:pt>
                <c:pt idx="30">
                  <c:v>955</c:v>
                </c:pt>
                <c:pt idx="31">
                  <c:v>961</c:v>
                </c:pt>
                <c:pt idx="32">
                  <c:v>1105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Req3!$B$102</c:f>
              <c:strCache>
                <c:ptCount val="1"/>
                <c:pt idx="0">
                  <c:v>CRESTOR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Req3!$C$102:$AI$102</c:f>
              <c:numCache>
                <c:ptCount val="33"/>
                <c:pt idx="0">
                  <c:v>66</c:v>
                </c:pt>
                <c:pt idx="1">
                  <c:v>138</c:v>
                </c:pt>
                <c:pt idx="2">
                  <c:v>150</c:v>
                </c:pt>
                <c:pt idx="3">
                  <c:v>131</c:v>
                </c:pt>
                <c:pt idx="4">
                  <c:v>148</c:v>
                </c:pt>
                <c:pt idx="5">
                  <c:v>154</c:v>
                </c:pt>
                <c:pt idx="6">
                  <c:v>169</c:v>
                </c:pt>
                <c:pt idx="7">
                  <c:v>133</c:v>
                </c:pt>
                <c:pt idx="8">
                  <c:v>150</c:v>
                </c:pt>
                <c:pt idx="9">
                  <c:v>146</c:v>
                </c:pt>
                <c:pt idx="10">
                  <c:v>189</c:v>
                </c:pt>
                <c:pt idx="11">
                  <c:v>191</c:v>
                </c:pt>
                <c:pt idx="12">
                  <c:v>220</c:v>
                </c:pt>
                <c:pt idx="13">
                  <c:v>225</c:v>
                </c:pt>
                <c:pt idx="14">
                  <c:v>197</c:v>
                </c:pt>
                <c:pt idx="15">
                  <c:v>231</c:v>
                </c:pt>
                <c:pt idx="16">
                  <c:v>221</c:v>
                </c:pt>
                <c:pt idx="17">
                  <c:v>239</c:v>
                </c:pt>
                <c:pt idx="18">
                  <c:v>246</c:v>
                </c:pt>
                <c:pt idx="19">
                  <c:v>243</c:v>
                </c:pt>
                <c:pt idx="20">
                  <c:v>256</c:v>
                </c:pt>
                <c:pt idx="21">
                  <c:v>292</c:v>
                </c:pt>
                <c:pt idx="22">
                  <c:v>379</c:v>
                </c:pt>
                <c:pt idx="23">
                  <c:v>354</c:v>
                </c:pt>
                <c:pt idx="24">
                  <c:v>433</c:v>
                </c:pt>
                <c:pt idx="25">
                  <c:v>446</c:v>
                </c:pt>
                <c:pt idx="26">
                  <c:v>415</c:v>
                </c:pt>
                <c:pt idx="27">
                  <c:v>458</c:v>
                </c:pt>
                <c:pt idx="28">
                  <c:v>444</c:v>
                </c:pt>
                <c:pt idx="29">
                  <c:v>545</c:v>
                </c:pt>
                <c:pt idx="30">
                  <c:v>510</c:v>
                </c:pt>
                <c:pt idx="31">
                  <c:v>480</c:v>
                </c:pt>
                <c:pt idx="32">
                  <c:v>583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Req3!$B$103</c:f>
              <c:strCache>
                <c:ptCount val="1"/>
                <c:pt idx="0">
                  <c:v>EZETROL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Req3!$C$103:$AI$103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13</c:v>
                </c:pt>
                <c:pt idx="10">
                  <c:v>31</c:v>
                </c:pt>
                <c:pt idx="11">
                  <c:v>43</c:v>
                </c:pt>
                <c:pt idx="12">
                  <c:v>51</c:v>
                </c:pt>
                <c:pt idx="13">
                  <c:v>80</c:v>
                </c:pt>
                <c:pt idx="14">
                  <c:v>71</c:v>
                </c:pt>
                <c:pt idx="15">
                  <c:v>87</c:v>
                </c:pt>
                <c:pt idx="16">
                  <c:v>111</c:v>
                </c:pt>
                <c:pt idx="17">
                  <c:v>115</c:v>
                </c:pt>
                <c:pt idx="18">
                  <c:v>112</c:v>
                </c:pt>
                <c:pt idx="19">
                  <c:v>135</c:v>
                </c:pt>
                <c:pt idx="20">
                  <c:v>141</c:v>
                </c:pt>
                <c:pt idx="21">
                  <c:v>159</c:v>
                </c:pt>
                <c:pt idx="22">
                  <c:v>168</c:v>
                </c:pt>
                <c:pt idx="23">
                  <c:v>128</c:v>
                </c:pt>
                <c:pt idx="24">
                  <c:v>162</c:v>
                </c:pt>
                <c:pt idx="25">
                  <c:v>163</c:v>
                </c:pt>
                <c:pt idx="26">
                  <c:v>156</c:v>
                </c:pt>
                <c:pt idx="27">
                  <c:v>159</c:v>
                </c:pt>
                <c:pt idx="28">
                  <c:v>155</c:v>
                </c:pt>
                <c:pt idx="29">
                  <c:v>189</c:v>
                </c:pt>
                <c:pt idx="30">
                  <c:v>179</c:v>
                </c:pt>
                <c:pt idx="31">
                  <c:v>147</c:v>
                </c:pt>
                <c:pt idx="32">
                  <c:v>188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Req3!$B$104</c:f>
              <c:strCache>
                <c:ptCount val="1"/>
                <c:pt idx="0">
                  <c:v>INEGY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Req3!$C$104:$AI$104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16</c:v>
                </c:pt>
                <c:pt idx="22">
                  <c:v>35</c:v>
                </c:pt>
                <c:pt idx="23">
                  <c:v>34</c:v>
                </c:pt>
                <c:pt idx="24">
                  <c:v>52</c:v>
                </c:pt>
                <c:pt idx="25">
                  <c:v>55</c:v>
                </c:pt>
                <c:pt idx="26">
                  <c:v>65</c:v>
                </c:pt>
                <c:pt idx="27">
                  <c:v>65</c:v>
                </c:pt>
                <c:pt idx="28">
                  <c:v>70</c:v>
                </c:pt>
                <c:pt idx="29">
                  <c:v>86</c:v>
                </c:pt>
                <c:pt idx="30">
                  <c:v>70</c:v>
                </c:pt>
                <c:pt idx="31">
                  <c:v>66</c:v>
                </c:pt>
                <c:pt idx="32">
                  <c:v>91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Req3!$B$105</c:f>
              <c:strCache>
                <c:ptCount val="1"/>
                <c:pt idx="0">
                  <c:v>LIPUR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Req3!$C$105:$AI$105</c:f>
              <c:numCache>
                <c:ptCount val="33"/>
                <c:pt idx="0">
                  <c:v>5</c:v>
                </c:pt>
                <c:pt idx="1">
                  <c:v>11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9</c:v>
                </c:pt>
                <c:pt idx="10">
                  <c:v>12</c:v>
                </c:pt>
                <c:pt idx="11">
                  <c:v>11</c:v>
                </c:pt>
                <c:pt idx="12">
                  <c:v>17</c:v>
                </c:pt>
                <c:pt idx="13">
                  <c:v>11</c:v>
                </c:pt>
                <c:pt idx="14">
                  <c:v>12</c:v>
                </c:pt>
                <c:pt idx="15">
                  <c:v>14</c:v>
                </c:pt>
                <c:pt idx="16">
                  <c:v>16</c:v>
                </c:pt>
                <c:pt idx="17">
                  <c:v>13</c:v>
                </c:pt>
                <c:pt idx="18">
                  <c:v>11</c:v>
                </c:pt>
                <c:pt idx="19">
                  <c:v>14</c:v>
                </c:pt>
                <c:pt idx="20">
                  <c:v>18</c:v>
                </c:pt>
                <c:pt idx="21">
                  <c:v>14</c:v>
                </c:pt>
                <c:pt idx="22">
                  <c:v>10</c:v>
                </c:pt>
                <c:pt idx="23">
                  <c:v>12</c:v>
                </c:pt>
                <c:pt idx="24">
                  <c:v>14</c:v>
                </c:pt>
                <c:pt idx="25">
                  <c:v>15</c:v>
                </c:pt>
                <c:pt idx="26">
                  <c:v>12</c:v>
                </c:pt>
                <c:pt idx="27">
                  <c:v>18</c:v>
                </c:pt>
                <c:pt idx="28">
                  <c:v>16</c:v>
                </c:pt>
                <c:pt idx="29">
                  <c:v>21</c:v>
                </c:pt>
                <c:pt idx="30">
                  <c:v>18</c:v>
                </c:pt>
                <c:pt idx="31">
                  <c:v>12</c:v>
                </c:pt>
                <c:pt idx="32">
                  <c:v>17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Req3!$B$106</c:f>
              <c:strCache>
                <c:ptCount val="1"/>
                <c:pt idx="0">
                  <c:v>Fénofibrate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Req3!$C$106:$AI$106</c:f>
              <c:numCache>
                <c:ptCount val="33"/>
                <c:pt idx="0">
                  <c:v>971</c:v>
                </c:pt>
                <c:pt idx="1">
                  <c:v>1203</c:v>
                </c:pt>
                <c:pt idx="2">
                  <c:v>1077</c:v>
                </c:pt>
                <c:pt idx="3">
                  <c:v>1072</c:v>
                </c:pt>
                <c:pt idx="4">
                  <c:v>1085</c:v>
                </c:pt>
                <c:pt idx="5">
                  <c:v>1080</c:v>
                </c:pt>
                <c:pt idx="6">
                  <c:v>1181</c:v>
                </c:pt>
                <c:pt idx="7">
                  <c:v>1150</c:v>
                </c:pt>
                <c:pt idx="8">
                  <c:v>1092</c:v>
                </c:pt>
                <c:pt idx="9">
                  <c:v>1035</c:v>
                </c:pt>
                <c:pt idx="10">
                  <c:v>1221</c:v>
                </c:pt>
                <c:pt idx="11">
                  <c:v>1121</c:v>
                </c:pt>
                <c:pt idx="12">
                  <c:v>1172</c:v>
                </c:pt>
                <c:pt idx="13">
                  <c:v>1125</c:v>
                </c:pt>
                <c:pt idx="14">
                  <c:v>1063</c:v>
                </c:pt>
                <c:pt idx="15">
                  <c:v>1142</c:v>
                </c:pt>
                <c:pt idx="16">
                  <c:v>1156</c:v>
                </c:pt>
                <c:pt idx="17">
                  <c:v>1114</c:v>
                </c:pt>
                <c:pt idx="18">
                  <c:v>1148</c:v>
                </c:pt>
                <c:pt idx="19">
                  <c:v>1148</c:v>
                </c:pt>
                <c:pt idx="20">
                  <c:v>1103</c:v>
                </c:pt>
                <c:pt idx="21">
                  <c:v>1021</c:v>
                </c:pt>
                <c:pt idx="22">
                  <c:v>1139</c:v>
                </c:pt>
                <c:pt idx="23">
                  <c:v>979</c:v>
                </c:pt>
                <c:pt idx="24">
                  <c:v>1135</c:v>
                </c:pt>
                <c:pt idx="25">
                  <c:v>1097</c:v>
                </c:pt>
                <c:pt idx="26">
                  <c:v>984</c:v>
                </c:pt>
                <c:pt idx="27">
                  <c:v>1106</c:v>
                </c:pt>
                <c:pt idx="28">
                  <c:v>1045</c:v>
                </c:pt>
                <c:pt idx="29">
                  <c:v>1151</c:v>
                </c:pt>
                <c:pt idx="30">
                  <c:v>1049</c:v>
                </c:pt>
                <c:pt idx="31">
                  <c:v>995</c:v>
                </c:pt>
                <c:pt idx="32">
                  <c:v>1124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Req3!$B$107</c:f>
              <c:strCache>
                <c:ptCount val="1"/>
                <c:pt idx="0">
                  <c:v>CADUET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Req3!$C$107:$AI$107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Req3!$B$109</c:f>
              <c:strCache>
                <c:ptCount val="1"/>
                <c:pt idx="0">
                  <c:v>Statines de 1er choix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Req3!$C$96:$AI$96</c:f>
              <c:strCache>
                <c:ptCount val="33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</c:strCache>
            </c:strRef>
          </c:cat>
          <c:val>
            <c:numRef>
              <c:f>Req3!$C$109:$AI$109</c:f>
              <c:numCache>
                <c:ptCount val="33"/>
                <c:pt idx="0">
                  <c:v>1876</c:v>
                </c:pt>
                <c:pt idx="1">
                  <c:v>2278</c:v>
                </c:pt>
                <c:pt idx="2">
                  <c:v>2143</c:v>
                </c:pt>
                <c:pt idx="3">
                  <c:v>2169</c:v>
                </c:pt>
                <c:pt idx="4">
                  <c:v>2090</c:v>
                </c:pt>
                <c:pt idx="5">
                  <c:v>2081</c:v>
                </c:pt>
                <c:pt idx="6">
                  <c:v>2206</c:v>
                </c:pt>
                <c:pt idx="7">
                  <c:v>2237</c:v>
                </c:pt>
                <c:pt idx="8">
                  <c:v>2139</c:v>
                </c:pt>
                <c:pt idx="9">
                  <c:v>1898</c:v>
                </c:pt>
                <c:pt idx="10">
                  <c:v>2324</c:v>
                </c:pt>
                <c:pt idx="11">
                  <c:v>2131</c:v>
                </c:pt>
                <c:pt idx="12">
                  <c:v>2228</c:v>
                </c:pt>
                <c:pt idx="13">
                  <c:v>2204</c:v>
                </c:pt>
                <c:pt idx="14">
                  <c:v>2092</c:v>
                </c:pt>
                <c:pt idx="15">
                  <c:v>2232</c:v>
                </c:pt>
                <c:pt idx="16">
                  <c:v>2119</c:v>
                </c:pt>
                <c:pt idx="17">
                  <c:v>2038</c:v>
                </c:pt>
                <c:pt idx="18">
                  <c:v>2183</c:v>
                </c:pt>
                <c:pt idx="19">
                  <c:v>2236</c:v>
                </c:pt>
                <c:pt idx="20">
                  <c:v>2131</c:v>
                </c:pt>
                <c:pt idx="21">
                  <c:v>2020</c:v>
                </c:pt>
                <c:pt idx="22">
                  <c:v>2213</c:v>
                </c:pt>
                <c:pt idx="23">
                  <c:v>1921</c:v>
                </c:pt>
                <c:pt idx="24">
                  <c:v>2242</c:v>
                </c:pt>
                <c:pt idx="25">
                  <c:v>2097</c:v>
                </c:pt>
                <c:pt idx="26">
                  <c:v>2010</c:v>
                </c:pt>
                <c:pt idx="27">
                  <c:v>2114</c:v>
                </c:pt>
                <c:pt idx="28">
                  <c:v>1991</c:v>
                </c:pt>
                <c:pt idx="29">
                  <c:v>2177</c:v>
                </c:pt>
                <c:pt idx="30">
                  <c:v>2039</c:v>
                </c:pt>
                <c:pt idx="31">
                  <c:v>1980</c:v>
                </c:pt>
                <c:pt idx="32">
                  <c:v>2323</c:v>
                </c:pt>
              </c:numCache>
            </c:numRef>
          </c:val>
          <c:smooth val="0"/>
        </c:ser>
        <c:marker val="1"/>
        <c:axId val="56854213"/>
        <c:axId val="41925870"/>
      </c:lineChart>
      <c:dateAx>
        <c:axId val="56854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438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925870"/>
        <c:crosses val="autoZero"/>
        <c:auto val="0"/>
        <c:noMultiLvlLbl val="0"/>
      </c:dateAx>
      <c:valAx>
        <c:axId val="41925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Nbre de boites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68542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6175"/>
          <c:w val="0.18325"/>
          <c:h val="0.3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Parts de marché unitaires (%)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Département de l'Aude - 549 médecins non visités au 16/01/2007</a:t>
            </a:r>
          </a:p>
        </c:rich>
      </c:tx>
      <c:layout>
        <c:manualLayout>
          <c:xMode val="factor"/>
          <c:yMode val="factor"/>
          <c:x val="-0.066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025"/>
          <c:w val="0.7672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Req3!$B$133</c:f>
              <c:strCache>
                <c:ptCount val="1"/>
                <c:pt idx="0">
                  <c:v>Simvastatine 10mg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Req3!$C$133:$AI$133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0.00040120361083249747</c:v>
                </c:pt>
                <c:pt idx="20">
                  <c:v>0.0008120178643930166</c:v>
                </c:pt>
                <c:pt idx="21">
                  <c:v>0.00021482277121374866</c:v>
                </c:pt>
                <c:pt idx="22">
                  <c:v>0.0011467889908256881</c:v>
                </c:pt>
                <c:pt idx="23">
                  <c:v>0.0013271400132714001</c:v>
                </c:pt>
                <c:pt idx="24">
                  <c:v>0.0011235955056179776</c:v>
                </c:pt>
                <c:pt idx="25">
                  <c:v>0.0013631937682570595</c:v>
                </c:pt>
                <c:pt idx="26">
                  <c:v>0.001448975367418754</c:v>
                </c:pt>
                <c:pt idx="27">
                  <c:v>0.0017327685791297652</c:v>
                </c:pt>
                <c:pt idx="28">
                  <c:v>0.0018281535648994515</c:v>
                </c:pt>
                <c:pt idx="29">
                  <c:v>0.0016492578339747114</c:v>
                </c:pt>
                <c:pt idx="30">
                  <c:v>0.001977848101265823</c:v>
                </c:pt>
                <c:pt idx="31">
                  <c:v>0.0012340600575894694</c:v>
                </c:pt>
                <c:pt idx="32">
                  <c:v>0.002642706131078224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Req3!$B$134</c:f>
              <c:strCache>
                <c:ptCount val="1"/>
                <c:pt idx="0">
                  <c:v>Simvastatine 20mg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Req3!$C$134:$AI$134</c:f>
              <c:numCache>
                <c:ptCount val="33"/>
                <c:pt idx="0">
                  <c:v>0.1391610148203969</c:v>
                </c:pt>
                <c:pt idx="1">
                  <c:v>0.14060903331289598</c:v>
                </c:pt>
                <c:pt idx="2">
                  <c:v>0.13499779054352629</c:v>
                </c:pt>
                <c:pt idx="3">
                  <c:v>0.1397122929380994</c:v>
                </c:pt>
                <c:pt idx="4">
                  <c:v>0.1318656882366022</c:v>
                </c:pt>
                <c:pt idx="5">
                  <c:v>0.13099754519080561</c:v>
                </c:pt>
                <c:pt idx="6">
                  <c:v>0.12731433326399003</c:v>
                </c:pt>
                <c:pt idx="7">
                  <c:v>0.12952500523121993</c:v>
                </c:pt>
                <c:pt idx="8">
                  <c:v>0.12389761238976124</c:v>
                </c:pt>
                <c:pt idx="9">
                  <c:v>0.12631578947368421</c:v>
                </c:pt>
                <c:pt idx="10">
                  <c:v>0.1212002353402628</c:v>
                </c:pt>
                <c:pt idx="11">
                  <c:v>0.12479201331114809</c:v>
                </c:pt>
                <c:pt idx="12">
                  <c:v>0.12273361227336123</c:v>
                </c:pt>
                <c:pt idx="13">
                  <c:v>0.12316065309413425</c:v>
                </c:pt>
                <c:pt idx="14">
                  <c:v>0.13227399613485077</c:v>
                </c:pt>
                <c:pt idx="15">
                  <c:v>0.13751000800640512</c:v>
                </c:pt>
                <c:pt idx="16">
                  <c:v>0.13214505224339274</c:v>
                </c:pt>
                <c:pt idx="17">
                  <c:v>0.13016747933008269</c:v>
                </c:pt>
                <c:pt idx="18">
                  <c:v>0.13867735470941883</c:v>
                </c:pt>
                <c:pt idx="19">
                  <c:v>0.14122367101303912</c:v>
                </c:pt>
                <c:pt idx="20">
                  <c:v>0.13784003248071458</c:v>
                </c:pt>
                <c:pt idx="21">
                  <c:v>0.1394199785177229</c:v>
                </c:pt>
                <c:pt idx="22">
                  <c:v>0.13742354740061163</c:v>
                </c:pt>
                <c:pt idx="23">
                  <c:v>0.13912851139128513</c:v>
                </c:pt>
                <c:pt idx="24">
                  <c:v>0.13539325842696628</c:v>
                </c:pt>
                <c:pt idx="25">
                  <c:v>0.13729308666017526</c:v>
                </c:pt>
                <c:pt idx="26">
                  <c:v>0.143034568412337</c:v>
                </c:pt>
                <c:pt idx="27">
                  <c:v>0.1340007701193685</c:v>
                </c:pt>
                <c:pt idx="28">
                  <c:v>0.13304895388990454</c:v>
                </c:pt>
                <c:pt idx="29">
                  <c:v>0.1271761040864944</c:v>
                </c:pt>
                <c:pt idx="30">
                  <c:v>0.1307357594936709</c:v>
                </c:pt>
                <c:pt idx="31">
                  <c:v>0.13554092965857673</c:v>
                </c:pt>
                <c:pt idx="32">
                  <c:v>0.12931642001409444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Req3!$B$135</c:f>
              <c:strCache>
                <c:ptCount val="1"/>
                <c:pt idx="0">
                  <c:v>Simvastatine 40mg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Req3!$C$135:$AI$135</c:f>
              <c:numCache>
                <c:ptCount val="33"/>
                <c:pt idx="0">
                  <c:v>0.01281085154483798</c:v>
                </c:pt>
                <c:pt idx="1">
                  <c:v>0.014714898835070508</c:v>
                </c:pt>
                <c:pt idx="2">
                  <c:v>0.01723376049491825</c:v>
                </c:pt>
                <c:pt idx="3">
                  <c:v>0.015475152571926765</c:v>
                </c:pt>
                <c:pt idx="4">
                  <c:v>0.01890148988214365</c:v>
                </c:pt>
                <c:pt idx="5">
                  <c:v>0.016737335416201742</c:v>
                </c:pt>
                <c:pt idx="6">
                  <c:v>0.01768254628666528</c:v>
                </c:pt>
                <c:pt idx="7">
                  <c:v>0.01841389412010881</c:v>
                </c:pt>
                <c:pt idx="8">
                  <c:v>0.018498601849860186</c:v>
                </c:pt>
                <c:pt idx="9">
                  <c:v>0.018947368421052633</c:v>
                </c:pt>
                <c:pt idx="10">
                  <c:v>0.01980780545204942</c:v>
                </c:pt>
                <c:pt idx="11">
                  <c:v>0.018926788685524127</c:v>
                </c:pt>
                <c:pt idx="12">
                  <c:v>0.019924287706714484</c:v>
                </c:pt>
                <c:pt idx="13">
                  <c:v>0.01914936504736948</c:v>
                </c:pt>
                <c:pt idx="14">
                  <c:v>0.02061412926776895</c:v>
                </c:pt>
                <c:pt idx="15">
                  <c:v>0.019015212169735788</c:v>
                </c:pt>
                <c:pt idx="16">
                  <c:v>0.020282728948985862</c:v>
                </c:pt>
                <c:pt idx="17">
                  <c:v>0.02247191011235955</c:v>
                </c:pt>
                <c:pt idx="18">
                  <c:v>0.022044088176352707</c:v>
                </c:pt>
                <c:pt idx="19">
                  <c:v>0.02246740220661986</c:v>
                </c:pt>
                <c:pt idx="20">
                  <c:v>0.021721477872513197</c:v>
                </c:pt>
                <c:pt idx="21">
                  <c:v>0.02062298603651987</c:v>
                </c:pt>
                <c:pt idx="22">
                  <c:v>0.0191131498470948</c:v>
                </c:pt>
                <c:pt idx="23">
                  <c:v>0.0225613802256138</c:v>
                </c:pt>
                <c:pt idx="24">
                  <c:v>0.020599250936329586</c:v>
                </c:pt>
                <c:pt idx="25">
                  <c:v>0.01966893865628043</c:v>
                </c:pt>
                <c:pt idx="26">
                  <c:v>0.021113641068101843</c:v>
                </c:pt>
                <c:pt idx="27">
                  <c:v>0.020023103581055062</c:v>
                </c:pt>
                <c:pt idx="28">
                  <c:v>0.02254722730042657</c:v>
                </c:pt>
                <c:pt idx="29">
                  <c:v>0.02162360271211288</c:v>
                </c:pt>
                <c:pt idx="30">
                  <c:v>0.021162974683544302</c:v>
                </c:pt>
                <c:pt idx="31">
                  <c:v>0.02221308103661045</c:v>
                </c:pt>
                <c:pt idx="32">
                  <c:v>0.02131782945736434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Req3!$B$136</c:f>
              <c:strCache>
                <c:ptCount val="1"/>
                <c:pt idx="0">
                  <c:v>Pravastatine 10mg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Req3!$C$136:$AI$136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0.0001832508704416346</c:v>
                </c:pt>
                <c:pt idx="30">
                  <c:v>0</c:v>
                </c:pt>
                <c:pt idx="31">
                  <c:v>0</c:v>
                </c:pt>
                <c:pt idx="32">
                  <c:v>0.00017618040873854828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Req3!$B$137</c:f>
              <c:strCache>
                <c:ptCount val="1"/>
                <c:pt idx="0">
                  <c:v>Pravastatine 20mg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Req3!$C$137:$AI$137</c:f>
              <c:numCache>
                <c:ptCount val="33"/>
                <c:pt idx="0">
                  <c:v>0.24064305450891735</c:v>
                </c:pt>
                <c:pt idx="1">
                  <c:v>0.23073778867770284</c:v>
                </c:pt>
                <c:pt idx="2">
                  <c:v>0.2322138753866549</c:v>
                </c:pt>
                <c:pt idx="3">
                  <c:v>0.23801220575414123</c:v>
                </c:pt>
                <c:pt idx="4">
                  <c:v>0.23193239937736268</c:v>
                </c:pt>
                <c:pt idx="5">
                  <c:v>0.23142155768801606</c:v>
                </c:pt>
                <c:pt idx="6">
                  <c:v>0.2242562929061785</c:v>
                </c:pt>
                <c:pt idx="7">
                  <c:v>0.23247541326637372</c:v>
                </c:pt>
                <c:pt idx="8">
                  <c:v>0.23553452355345236</c:v>
                </c:pt>
                <c:pt idx="9">
                  <c:v>0.21964912280701754</c:v>
                </c:pt>
                <c:pt idx="10">
                  <c:v>0.2300451068837027</c:v>
                </c:pt>
                <c:pt idx="11">
                  <c:v>0.21526622296173045</c:v>
                </c:pt>
                <c:pt idx="12">
                  <c:v>0.2163777644949193</c:v>
                </c:pt>
                <c:pt idx="13">
                  <c:v>0.21467446079419472</c:v>
                </c:pt>
                <c:pt idx="14">
                  <c:v>0.21129482499463173</c:v>
                </c:pt>
                <c:pt idx="15">
                  <c:v>0.2021617293835068</c:v>
                </c:pt>
                <c:pt idx="16">
                  <c:v>0.20221266133988935</c:v>
                </c:pt>
                <c:pt idx="17">
                  <c:v>0.19970320118719526</c:v>
                </c:pt>
                <c:pt idx="18">
                  <c:v>0.19579158316633266</c:v>
                </c:pt>
                <c:pt idx="19">
                  <c:v>0.20220661985957875</c:v>
                </c:pt>
                <c:pt idx="20">
                  <c:v>0.19386926512383273</c:v>
                </c:pt>
                <c:pt idx="21">
                  <c:v>0.19570354457572503</c:v>
                </c:pt>
                <c:pt idx="22">
                  <c:v>0.1890290519877676</c:v>
                </c:pt>
                <c:pt idx="23">
                  <c:v>0.19000221190002212</c:v>
                </c:pt>
                <c:pt idx="24">
                  <c:v>0.1842696629213483</c:v>
                </c:pt>
                <c:pt idx="25">
                  <c:v>0.17585199610516067</c:v>
                </c:pt>
                <c:pt idx="26">
                  <c:v>0.17077209687435313</c:v>
                </c:pt>
                <c:pt idx="27">
                  <c:v>0.17616480554485944</c:v>
                </c:pt>
                <c:pt idx="28">
                  <c:v>0.17062766605728213</c:v>
                </c:pt>
                <c:pt idx="29">
                  <c:v>0.17298882169690305</c:v>
                </c:pt>
                <c:pt idx="30">
                  <c:v>0.17325949367088608</c:v>
                </c:pt>
                <c:pt idx="31">
                  <c:v>0.16968325791855204</c:v>
                </c:pt>
                <c:pt idx="32">
                  <c:v>0.1744186046511628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Req3!$B$138</c:f>
              <c:strCache>
                <c:ptCount val="1"/>
                <c:pt idx="0">
                  <c:v>Pravastatine 40mg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Req3!$C$138:$AI$138</c:f>
              <c:numCache>
                <c:ptCount val="33"/>
                <c:pt idx="0">
                  <c:v>0.07862346144184879</c:v>
                </c:pt>
                <c:pt idx="1">
                  <c:v>0.07950132842836706</c:v>
                </c:pt>
                <c:pt idx="2">
                  <c:v>0.08904109589041095</c:v>
                </c:pt>
                <c:pt idx="3">
                  <c:v>0.07955536181342633</c:v>
                </c:pt>
                <c:pt idx="4">
                  <c:v>0.08205470313542361</c:v>
                </c:pt>
                <c:pt idx="5">
                  <c:v>0.08524882838652087</c:v>
                </c:pt>
                <c:pt idx="6">
                  <c:v>0.08966091117120865</c:v>
                </c:pt>
                <c:pt idx="7">
                  <c:v>0.08767524586733626</c:v>
                </c:pt>
                <c:pt idx="8">
                  <c:v>0.08216820821682082</c:v>
                </c:pt>
                <c:pt idx="9">
                  <c:v>0.07906432748538011</c:v>
                </c:pt>
                <c:pt idx="10">
                  <c:v>0.08472249460678564</c:v>
                </c:pt>
                <c:pt idx="11">
                  <c:v>0.08423460898502495</c:v>
                </c:pt>
                <c:pt idx="12">
                  <c:v>0.08487746563060371</c:v>
                </c:pt>
                <c:pt idx="13">
                  <c:v>0.08728079016327353</c:v>
                </c:pt>
                <c:pt idx="14">
                  <c:v>0.08503328322954692</c:v>
                </c:pt>
                <c:pt idx="15">
                  <c:v>0.08807045636509207</c:v>
                </c:pt>
                <c:pt idx="16">
                  <c:v>0.07949190739602541</c:v>
                </c:pt>
                <c:pt idx="17">
                  <c:v>0.07971168115327538</c:v>
                </c:pt>
                <c:pt idx="18">
                  <c:v>0.08096192384769539</c:v>
                </c:pt>
                <c:pt idx="19">
                  <c:v>0.08224674022066199</c:v>
                </c:pt>
                <c:pt idx="20">
                  <c:v>0.07835972391392611</c:v>
                </c:pt>
                <c:pt idx="21">
                  <c:v>0.07798066595059076</c:v>
                </c:pt>
                <c:pt idx="22">
                  <c:v>0.07626146788990826</c:v>
                </c:pt>
                <c:pt idx="23">
                  <c:v>0.0718867507188675</c:v>
                </c:pt>
                <c:pt idx="24">
                  <c:v>0.07846441947565543</c:v>
                </c:pt>
                <c:pt idx="25">
                  <c:v>0.07322297955209348</c:v>
                </c:pt>
                <c:pt idx="26">
                  <c:v>0.07824466984061271</c:v>
                </c:pt>
                <c:pt idx="27">
                  <c:v>0.07258375048132461</c:v>
                </c:pt>
                <c:pt idx="28">
                  <c:v>0.07373552711761121</c:v>
                </c:pt>
                <c:pt idx="29">
                  <c:v>0.07000183250870441</c:v>
                </c:pt>
                <c:pt idx="30">
                  <c:v>0.07120253164556962</c:v>
                </c:pt>
                <c:pt idx="31">
                  <c:v>0.0711641299876594</c:v>
                </c:pt>
                <c:pt idx="32">
                  <c:v>0.07329105003523609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Req3!$B$139</c:f>
              <c:strCache>
                <c:ptCount val="1"/>
                <c:pt idx="0">
                  <c:v>PRAVADUAL 40/81mg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Req3!$C$139:$AI$139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0.0009737098344693282</c:v>
                </c:pt>
                <c:pt idx="26">
                  <c:v>0.001448975367418754</c:v>
                </c:pt>
                <c:pt idx="27">
                  <c:v>0.0025028879476318828</c:v>
                </c:pt>
                <c:pt idx="28">
                  <c:v>0.002640666260410319</c:v>
                </c:pt>
                <c:pt idx="29">
                  <c:v>0.005314275242807403</c:v>
                </c:pt>
                <c:pt idx="30">
                  <c:v>0.004944620253164557</c:v>
                </c:pt>
                <c:pt idx="31">
                  <c:v>0.007404360345536816</c:v>
                </c:pt>
                <c:pt idx="32">
                  <c:v>0.00810429880197322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Req3!$B$140</c:f>
              <c:strCache>
                <c:ptCount val="1"/>
                <c:pt idx="0">
                  <c:v>Fluvastatine 20mg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Req3!$C$140:$AI$140</c:f>
              <c:numCache>
                <c:ptCount val="33"/>
                <c:pt idx="0">
                  <c:v>0.012559658377292138</c:v>
                </c:pt>
                <c:pt idx="1">
                  <c:v>0.011444921316165951</c:v>
                </c:pt>
                <c:pt idx="2">
                  <c:v>0.0103844454264251</c:v>
                </c:pt>
                <c:pt idx="3">
                  <c:v>0.012641673931996512</c:v>
                </c:pt>
                <c:pt idx="4">
                  <c:v>0.01089615299088281</c:v>
                </c:pt>
                <c:pt idx="5">
                  <c:v>0.010935059138585137</c:v>
                </c:pt>
                <c:pt idx="6">
                  <c:v>0.01040149781568546</c:v>
                </c:pt>
                <c:pt idx="7">
                  <c:v>0.011717932621887424</c:v>
                </c:pt>
                <c:pt idx="8">
                  <c:v>0.010539901053990105</c:v>
                </c:pt>
                <c:pt idx="9">
                  <c:v>0.012865497076023392</c:v>
                </c:pt>
                <c:pt idx="10">
                  <c:v>0.009805844283192783</c:v>
                </c:pt>
                <c:pt idx="11">
                  <c:v>0.009775374376039933</c:v>
                </c:pt>
                <c:pt idx="12">
                  <c:v>0.011556086869894401</c:v>
                </c:pt>
                <c:pt idx="13">
                  <c:v>0.012900624874017335</c:v>
                </c:pt>
                <c:pt idx="14">
                  <c:v>0.009448142581060769</c:v>
                </c:pt>
                <c:pt idx="15">
                  <c:v>0.012409927942353884</c:v>
                </c:pt>
                <c:pt idx="16">
                  <c:v>0.012087686949395616</c:v>
                </c:pt>
                <c:pt idx="17">
                  <c:v>0.012083951664193343</c:v>
                </c:pt>
                <c:pt idx="18">
                  <c:v>0.011422845691382766</c:v>
                </c:pt>
                <c:pt idx="19">
                  <c:v>0.013640922768304914</c:v>
                </c:pt>
                <c:pt idx="20">
                  <c:v>0.013804303694681283</c:v>
                </c:pt>
                <c:pt idx="21">
                  <c:v>0.01417830290010741</c:v>
                </c:pt>
                <c:pt idx="22">
                  <c:v>0.013570336391437308</c:v>
                </c:pt>
                <c:pt idx="23">
                  <c:v>0.010838310108383101</c:v>
                </c:pt>
                <c:pt idx="24">
                  <c:v>0.014044943820224719</c:v>
                </c:pt>
                <c:pt idx="25">
                  <c:v>0.012268743914313535</c:v>
                </c:pt>
                <c:pt idx="26">
                  <c:v>0.011798799420409853</c:v>
                </c:pt>
                <c:pt idx="27">
                  <c:v>0.011744320369657297</c:v>
                </c:pt>
                <c:pt idx="28">
                  <c:v>0.013000203128173878</c:v>
                </c:pt>
                <c:pt idx="29">
                  <c:v>0.012094557449147883</c:v>
                </c:pt>
                <c:pt idx="30">
                  <c:v>0.011669303797468354</c:v>
                </c:pt>
                <c:pt idx="31">
                  <c:v>0.012134923899629783</c:v>
                </c:pt>
                <c:pt idx="32">
                  <c:v>0.009337561663143059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Req3!$B$141</c:f>
              <c:strCache>
                <c:ptCount val="1"/>
                <c:pt idx="0">
                  <c:v>Fluvastatine 40mg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Req3!$C$141:$AI$141</c:f>
              <c:numCache>
                <c:ptCount val="33"/>
                <c:pt idx="0">
                  <c:v>0.028887214267771917</c:v>
                </c:pt>
                <c:pt idx="1">
                  <c:v>0.02779480891068874</c:v>
                </c:pt>
                <c:pt idx="2">
                  <c:v>0.029606716747680072</c:v>
                </c:pt>
                <c:pt idx="3">
                  <c:v>0.02680906713164778</c:v>
                </c:pt>
                <c:pt idx="4">
                  <c:v>0.024460751612185902</c:v>
                </c:pt>
                <c:pt idx="5">
                  <c:v>0.026779736665922784</c:v>
                </c:pt>
                <c:pt idx="6">
                  <c:v>0.02537965467027252</c:v>
                </c:pt>
                <c:pt idx="7">
                  <c:v>0.023645114040594266</c:v>
                </c:pt>
                <c:pt idx="8">
                  <c:v>0.02710260271026027</c:v>
                </c:pt>
                <c:pt idx="9">
                  <c:v>0.026198830409356725</c:v>
                </c:pt>
                <c:pt idx="10">
                  <c:v>0.024122376936654245</c:v>
                </c:pt>
                <c:pt idx="11">
                  <c:v>0.029534109816971715</c:v>
                </c:pt>
                <c:pt idx="12">
                  <c:v>0.02470611675632596</c:v>
                </c:pt>
                <c:pt idx="13">
                  <c:v>0.024188671638782504</c:v>
                </c:pt>
                <c:pt idx="14">
                  <c:v>0.027270775177152675</c:v>
                </c:pt>
                <c:pt idx="15">
                  <c:v>0.026821457165732587</c:v>
                </c:pt>
                <c:pt idx="16">
                  <c:v>0.02110223314894489</c:v>
                </c:pt>
                <c:pt idx="17">
                  <c:v>0.024379902480390077</c:v>
                </c:pt>
                <c:pt idx="18">
                  <c:v>0.024248496993987977</c:v>
                </c:pt>
                <c:pt idx="19">
                  <c:v>0.023269809428284854</c:v>
                </c:pt>
                <c:pt idx="20">
                  <c:v>0.024563540397888755</c:v>
                </c:pt>
                <c:pt idx="21">
                  <c:v>0.018689581095596132</c:v>
                </c:pt>
                <c:pt idx="22">
                  <c:v>0.021597859327217125</c:v>
                </c:pt>
                <c:pt idx="23">
                  <c:v>0.022340190223401904</c:v>
                </c:pt>
                <c:pt idx="24">
                  <c:v>0.020973782771535582</c:v>
                </c:pt>
                <c:pt idx="25">
                  <c:v>0.021811100292112952</c:v>
                </c:pt>
                <c:pt idx="26">
                  <c:v>0.021527634030221485</c:v>
                </c:pt>
                <c:pt idx="27">
                  <c:v>0.019060454370427415</c:v>
                </c:pt>
                <c:pt idx="28">
                  <c:v>0.021125330083282552</c:v>
                </c:pt>
                <c:pt idx="29">
                  <c:v>0.020524097489463076</c:v>
                </c:pt>
                <c:pt idx="30">
                  <c:v>0.020569620253164556</c:v>
                </c:pt>
                <c:pt idx="31">
                  <c:v>0.0195392842451666</c:v>
                </c:pt>
                <c:pt idx="32">
                  <c:v>0.019203664552501762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Req3!$B$142</c:f>
              <c:strCache>
                <c:ptCount val="1"/>
                <c:pt idx="0">
                  <c:v>Fluvastatine 80mg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Req3!$C$142:$AI$142</c:f>
              <c:numCache>
                <c:ptCount val="33"/>
                <c:pt idx="0">
                  <c:v>0.016076362722933935</c:v>
                </c:pt>
                <c:pt idx="1">
                  <c:v>0.015736766809728183</c:v>
                </c:pt>
                <c:pt idx="2">
                  <c:v>0.015466195315952275</c:v>
                </c:pt>
                <c:pt idx="3">
                  <c:v>0.015257192676547515</c:v>
                </c:pt>
                <c:pt idx="4">
                  <c:v>0.0155659328441183</c:v>
                </c:pt>
                <c:pt idx="5">
                  <c:v>0.014952019638473556</c:v>
                </c:pt>
                <c:pt idx="6">
                  <c:v>0.014770126898273351</c:v>
                </c:pt>
                <c:pt idx="7">
                  <c:v>0.016321406151914627</c:v>
                </c:pt>
                <c:pt idx="8">
                  <c:v>0.015917401591740158</c:v>
                </c:pt>
                <c:pt idx="9">
                  <c:v>0.01847953216374269</c:v>
                </c:pt>
                <c:pt idx="10">
                  <c:v>0.015689350853108453</c:v>
                </c:pt>
                <c:pt idx="11">
                  <c:v>0.015806988352745424</c:v>
                </c:pt>
                <c:pt idx="12">
                  <c:v>0.01593943016537159</c:v>
                </c:pt>
                <c:pt idx="13">
                  <c:v>0.015117919774239064</c:v>
                </c:pt>
                <c:pt idx="14">
                  <c:v>0.015245866437620785</c:v>
                </c:pt>
                <c:pt idx="15">
                  <c:v>0.01521216973578863</c:v>
                </c:pt>
                <c:pt idx="16">
                  <c:v>0.015980331899200985</c:v>
                </c:pt>
                <c:pt idx="17">
                  <c:v>0.0158999364002544</c:v>
                </c:pt>
                <c:pt idx="18">
                  <c:v>0.014428857715430862</c:v>
                </c:pt>
                <c:pt idx="19">
                  <c:v>0.014844533600802408</c:v>
                </c:pt>
                <c:pt idx="20">
                  <c:v>0.015428339423467316</c:v>
                </c:pt>
                <c:pt idx="21">
                  <c:v>0.014607948442534909</c:v>
                </c:pt>
                <c:pt idx="22">
                  <c:v>0.014717125382262997</c:v>
                </c:pt>
                <c:pt idx="23">
                  <c:v>0.0123866401238664</c:v>
                </c:pt>
                <c:pt idx="24">
                  <c:v>0.014232209737827715</c:v>
                </c:pt>
                <c:pt idx="25">
                  <c:v>0.01421616358325219</c:v>
                </c:pt>
                <c:pt idx="26">
                  <c:v>0.013247774787828607</c:v>
                </c:pt>
                <c:pt idx="27">
                  <c:v>0.015594917212167885</c:v>
                </c:pt>
                <c:pt idx="28">
                  <c:v>0.013609587649807029</c:v>
                </c:pt>
                <c:pt idx="29">
                  <c:v>0.01154480483782298</c:v>
                </c:pt>
                <c:pt idx="30">
                  <c:v>0.014438291139240507</c:v>
                </c:pt>
                <c:pt idx="31">
                  <c:v>0.013780337309749074</c:v>
                </c:pt>
                <c:pt idx="32">
                  <c:v>0.013742071881606765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Req3!$B$143</c:f>
              <c:strCache>
                <c:ptCount val="1"/>
                <c:pt idx="0">
                  <c:v>TAHOR 10mg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Req3!$C$143:$AI$143</c:f>
              <c:numCache>
                <c:ptCount val="33"/>
                <c:pt idx="0">
                  <c:v>0.11605124340617935</c:v>
                </c:pt>
                <c:pt idx="1">
                  <c:v>0.11914980584508482</c:v>
                </c:pt>
                <c:pt idx="2">
                  <c:v>0.11886875828546177</c:v>
                </c:pt>
                <c:pt idx="3">
                  <c:v>0.11748038360941587</c:v>
                </c:pt>
                <c:pt idx="4">
                  <c:v>0.11896820102290416</c:v>
                </c:pt>
                <c:pt idx="5">
                  <c:v>0.11939299263557242</c:v>
                </c:pt>
                <c:pt idx="6">
                  <c:v>0.12086540461826503</c:v>
                </c:pt>
                <c:pt idx="7">
                  <c:v>0.11885331659342958</c:v>
                </c:pt>
                <c:pt idx="8">
                  <c:v>0.12346741234674123</c:v>
                </c:pt>
                <c:pt idx="9">
                  <c:v>0.12678362573099416</c:v>
                </c:pt>
                <c:pt idx="10">
                  <c:v>0.12041576779760738</c:v>
                </c:pt>
                <c:pt idx="11">
                  <c:v>0.12416805324459235</c:v>
                </c:pt>
                <c:pt idx="12">
                  <c:v>0.12472604104403268</c:v>
                </c:pt>
                <c:pt idx="13">
                  <c:v>0.11993549687562992</c:v>
                </c:pt>
                <c:pt idx="14">
                  <c:v>0.12024908739531888</c:v>
                </c:pt>
                <c:pt idx="15">
                  <c:v>0.11289031224979984</c:v>
                </c:pt>
                <c:pt idx="16">
                  <c:v>0.1210817455439459</c:v>
                </c:pt>
                <c:pt idx="17">
                  <c:v>0.11723553105787576</c:v>
                </c:pt>
                <c:pt idx="18">
                  <c:v>0.11923847695390781</c:v>
                </c:pt>
                <c:pt idx="19">
                  <c:v>0.10912738214643931</c:v>
                </c:pt>
                <c:pt idx="20">
                  <c:v>0.11307348761672757</c:v>
                </c:pt>
                <c:pt idx="21">
                  <c:v>0.11020408163265306</c:v>
                </c:pt>
                <c:pt idx="22">
                  <c:v>0.1150611620795107</c:v>
                </c:pt>
                <c:pt idx="23">
                  <c:v>0.1117009511170095</c:v>
                </c:pt>
                <c:pt idx="24">
                  <c:v>0.11273408239700375</c:v>
                </c:pt>
                <c:pt idx="25">
                  <c:v>0.11587147030185005</c:v>
                </c:pt>
                <c:pt idx="26">
                  <c:v>0.11633202235561996</c:v>
                </c:pt>
                <c:pt idx="27">
                  <c:v>0.11609549480169426</c:v>
                </c:pt>
                <c:pt idx="28">
                  <c:v>0.11273613650213285</c:v>
                </c:pt>
                <c:pt idx="29">
                  <c:v>0.10958402052409749</c:v>
                </c:pt>
                <c:pt idx="30">
                  <c:v>0.10799050632911393</c:v>
                </c:pt>
                <c:pt idx="31">
                  <c:v>0.11168243521184698</c:v>
                </c:pt>
                <c:pt idx="32">
                  <c:v>0.10923185341789993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Req3!$B$144</c:f>
              <c:strCache>
                <c:ptCount val="1"/>
                <c:pt idx="0">
                  <c:v>TAHOR 20mg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Req3!$C$144:$AI$144</c:f>
              <c:numCache>
                <c:ptCount val="33"/>
                <c:pt idx="0">
                  <c:v>0.043205224817884955</c:v>
                </c:pt>
                <c:pt idx="1">
                  <c:v>0.03801348865726548</c:v>
                </c:pt>
                <c:pt idx="2">
                  <c:v>0.035572249226690236</c:v>
                </c:pt>
                <c:pt idx="3">
                  <c:v>0.04250217959895379</c:v>
                </c:pt>
                <c:pt idx="4">
                  <c:v>0.04291750055592617</c:v>
                </c:pt>
                <c:pt idx="5">
                  <c:v>0.042624414193260435</c:v>
                </c:pt>
                <c:pt idx="6">
                  <c:v>0.041814021219055544</c:v>
                </c:pt>
                <c:pt idx="7">
                  <c:v>0.04749947687800795</c:v>
                </c:pt>
                <c:pt idx="8">
                  <c:v>0.047322004732200475</c:v>
                </c:pt>
                <c:pt idx="9">
                  <c:v>0.04725146198830409</c:v>
                </c:pt>
                <c:pt idx="10">
                  <c:v>0.04569523435967837</c:v>
                </c:pt>
                <c:pt idx="11">
                  <c:v>0.04970881863560732</c:v>
                </c:pt>
                <c:pt idx="12">
                  <c:v>0.04363419007770472</c:v>
                </c:pt>
                <c:pt idx="13">
                  <c:v>0.05039306591413022</c:v>
                </c:pt>
                <c:pt idx="14">
                  <c:v>0.04681125187889199</c:v>
                </c:pt>
                <c:pt idx="15">
                  <c:v>0.04643714971977582</c:v>
                </c:pt>
                <c:pt idx="16">
                  <c:v>0.04527760704773612</c:v>
                </c:pt>
                <c:pt idx="17">
                  <c:v>0.04197583209667161</c:v>
                </c:pt>
                <c:pt idx="18">
                  <c:v>0.0438877755511022</c:v>
                </c:pt>
                <c:pt idx="19">
                  <c:v>0.04252758274824473</c:v>
                </c:pt>
                <c:pt idx="20">
                  <c:v>0.04933008526187576</c:v>
                </c:pt>
                <c:pt idx="21">
                  <c:v>0.042320085929108485</c:v>
                </c:pt>
                <c:pt idx="22">
                  <c:v>0.04319571865443425</c:v>
                </c:pt>
                <c:pt idx="23">
                  <c:v>0.042689670426896704</c:v>
                </c:pt>
                <c:pt idx="24">
                  <c:v>0.041947565543071164</c:v>
                </c:pt>
                <c:pt idx="25">
                  <c:v>0.04128529698149951</c:v>
                </c:pt>
                <c:pt idx="26">
                  <c:v>0.04057131028772511</c:v>
                </c:pt>
                <c:pt idx="27">
                  <c:v>0.04081632653061224</c:v>
                </c:pt>
                <c:pt idx="28">
                  <c:v>0.043266301035953685</c:v>
                </c:pt>
                <c:pt idx="29">
                  <c:v>0.04233095107201759</c:v>
                </c:pt>
                <c:pt idx="30">
                  <c:v>0.042325949367088604</c:v>
                </c:pt>
                <c:pt idx="31">
                  <c:v>0.04339777869189634</c:v>
                </c:pt>
                <c:pt idx="32">
                  <c:v>0.043164200140944325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Req3!$B$145</c:f>
              <c:strCache>
                <c:ptCount val="1"/>
                <c:pt idx="0">
                  <c:v>TAHOR 40mg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Req3!$C$145:$AI$145</c:f>
              <c:numCache>
                <c:ptCount val="33"/>
                <c:pt idx="0">
                  <c:v>0.04948505400653102</c:v>
                </c:pt>
                <c:pt idx="1">
                  <c:v>0.043940322910279994</c:v>
                </c:pt>
                <c:pt idx="2">
                  <c:v>0.04242156429518339</c:v>
                </c:pt>
                <c:pt idx="3">
                  <c:v>0.0472972972972973</c:v>
                </c:pt>
                <c:pt idx="4">
                  <c:v>0.044474093840338</c:v>
                </c:pt>
                <c:pt idx="5">
                  <c:v>0.040839098415532245</c:v>
                </c:pt>
                <c:pt idx="6">
                  <c:v>0.04202205117536925</c:v>
                </c:pt>
                <c:pt idx="7">
                  <c:v>0.04184975936388366</c:v>
                </c:pt>
                <c:pt idx="8">
                  <c:v>0.04215960421596042</c:v>
                </c:pt>
                <c:pt idx="9">
                  <c:v>0.040467836257309944</c:v>
                </c:pt>
                <c:pt idx="10">
                  <c:v>0.04098842910374583</c:v>
                </c:pt>
                <c:pt idx="11">
                  <c:v>0.039725457570715474</c:v>
                </c:pt>
                <c:pt idx="12">
                  <c:v>0.041044032675831836</c:v>
                </c:pt>
                <c:pt idx="13">
                  <c:v>0.04071759725861721</c:v>
                </c:pt>
                <c:pt idx="14">
                  <c:v>0.040369336482714194</c:v>
                </c:pt>
                <c:pt idx="15">
                  <c:v>0.041032826261008806</c:v>
                </c:pt>
                <c:pt idx="16">
                  <c:v>0.03954107764802295</c:v>
                </c:pt>
                <c:pt idx="17">
                  <c:v>0.03985584057663769</c:v>
                </c:pt>
                <c:pt idx="18">
                  <c:v>0.04208416833667335</c:v>
                </c:pt>
                <c:pt idx="19">
                  <c:v>0.03691073219658977</c:v>
                </c:pt>
                <c:pt idx="20">
                  <c:v>0.04100690215184734</c:v>
                </c:pt>
                <c:pt idx="21">
                  <c:v>0.0406015037593985</c:v>
                </c:pt>
                <c:pt idx="22">
                  <c:v>0.03688837920489297</c:v>
                </c:pt>
                <c:pt idx="23">
                  <c:v>0.039150630391506305</c:v>
                </c:pt>
                <c:pt idx="24">
                  <c:v>0.03801498127340824</c:v>
                </c:pt>
                <c:pt idx="25">
                  <c:v>0.0373904576436222</c:v>
                </c:pt>
                <c:pt idx="26">
                  <c:v>0.04036431380666529</c:v>
                </c:pt>
                <c:pt idx="27">
                  <c:v>0.03927608779360801</c:v>
                </c:pt>
                <c:pt idx="28">
                  <c:v>0.03757871216737761</c:v>
                </c:pt>
                <c:pt idx="29">
                  <c:v>0.035917170606560384</c:v>
                </c:pt>
                <c:pt idx="30">
                  <c:v>0.03481012658227848</c:v>
                </c:pt>
                <c:pt idx="31">
                  <c:v>0.038872891814068285</c:v>
                </c:pt>
                <c:pt idx="32">
                  <c:v>0.03682170542635659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Req3!$B$146</c:f>
              <c:strCache>
                <c:ptCount val="1"/>
                <c:pt idx="0">
                  <c:v>TAHOR 80mg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Req3!$C$146:$AI$146</c:f>
              <c:numCache>
                <c:ptCount val="33"/>
                <c:pt idx="0">
                  <c:v>0.0007535795026375283</c:v>
                </c:pt>
                <c:pt idx="1">
                  <c:v>0.0020437359493153486</c:v>
                </c:pt>
                <c:pt idx="2">
                  <c:v>0.0013256738842244808</c:v>
                </c:pt>
                <c:pt idx="3">
                  <c:v>0.0015257192676547515</c:v>
                </c:pt>
                <c:pt idx="4">
                  <c:v>0.0022237046920169003</c:v>
                </c:pt>
                <c:pt idx="5">
                  <c:v>0.0017853157777281857</c:v>
                </c:pt>
                <c:pt idx="6">
                  <c:v>0.002288329519450801</c:v>
                </c:pt>
                <c:pt idx="7">
                  <c:v>0.001464741577735928</c:v>
                </c:pt>
                <c:pt idx="8">
                  <c:v>0.0021510002151000217</c:v>
                </c:pt>
                <c:pt idx="9">
                  <c:v>0.0025730994152046785</c:v>
                </c:pt>
                <c:pt idx="10">
                  <c:v>0.0025495195136301238</c:v>
                </c:pt>
                <c:pt idx="11">
                  <c:v>0.003951747088186356</c:v>
                </c:pt>
                <c:pt idx="12">
                  <c:v>0.0035863717872086074</c:v>
                </c:pt>
                <c:pt idx="13">
                  <c:v>0.0020157226365652087</c:v>
                </c:pt>
                <c:pt idx="14">
                  <c:v>0.003006227184882972</c:v>
                </c:pt>
                <c:pt idx="15">
                  <c:v>0.0034027221777421937</c:v>
                </c:pt>
                <c:pt idx="16">
                  <c:v>0.0026633886498668305</c:v>
                </c:pt>
                <c:pt idx="17">
                  <c:v>0.0025439898240407037</c:v>
                </c:pt>
                <c:pt idx="18">
                  <c:v>0.0032064128256513026</c:v>
                </c:pt>
                <c:pt idx="19">
                  <c:v>0.0022066198595787363</c:v>
                </c:pt>
                <c:pt idx="20">
                  <c:v>0.0016240357287860333</c:v>
                </c:pt>
                <c:pt idx="21">
                  <c:v>0.0027926960257787323</c:v>
                </c:pt>
                <c:pt idx="22">
                  <c:v>0.0011467889908256881</c:v>
                </c:pt>
                <c:pt idx="23">
                  <c:v>0.0026542800265428003</c:v>
                </c:pt>
                <c:pt idx="24">
                  <c:v>0.0018726591760299626</c:v>
                </c:pt>
                <c:pt idx="25">
                  <c:v>0.0029211295034079843</c:v>
                </c:pt>
                <c:pt idx="26">
                  <c:v>0.002276961291658042</c:v>
                </c:pt>
                <c:pt idx="27">
                  <c:v>0.0026954177897574125</c:v>
                </c:pt>
                <c:pt idx="28">
                  <c:v>0.002843794434288036</c:v>
                </c:pt>
                <c:pt idx="29">
                  <c:v>0.004031519149715961</c:v>
                </c:pt>
                <c:pt idx="30">
                  <c:v>0.0037579113924050634</c:v>
                </c:pt>
                <c:pt idx="31">
                  <c:v>0.003702180172768408</c:v>
                </c:pt>
                <c:pt idx="32">
                  <c:v>0.005461592670894996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Req3!$B$147</c:f>
              <c:strCache>
                <c:ptCount val="1"/>
                <c:pt idx="0">
                  <c:v>CRESTOR 5mg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Req3!$C$147:$AI$147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0.007303974221267454</c:v>
                </c:pt>
                <c:pt idx="22">
                  <c:v>0.015672782874617736</c:v>
                </c:pt>
                <c:pt idx="23">
                  <c:v>0.022119000221190004</c:v>
                </c:pt>
                <c:pt idx="24">
                  <c:v>0.027340823970037453</c:v>
                </c:pt>
                <c:pt idx="25">
                  <c:v>0.03018500486854917</c:v>
                </c:pt>
                <c:pt idx="26">
                  <c:v>0.03229145104533223</c:v>
                </c:pt>
                <c:pt idx="27">
                  <c:v>0.03118983442433577</c:v>
                </c:pt>
                <c:pt idx="28">
                  <c:v>0.03473491773308958</c:v>
                </c:pt>
                <c:pt idx="29">
                  <c:v>0.0392156862745098</c:v>
                </c:pt>
                <c:pt idx="30">
                  <c:v>0.04628164556962025</c:v>
                </c:pt>
                <c:pt idx="31">
                  <c:v>0.0427807486631016</c:v>
                </c:pt>
                <c:pt idx="32">
                  <c:v>0.045454545454545456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Req3!$B$148</c:f>
              <c:strCache>
                <c:ptCount val="1"/>
                <c:pt idx="0">
                  <c:v>CRESTOR 10mg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Req3!$C$148:$AI$148</c:f>
              <c:numCache>
                <c:ptCount val="33"/>
                <c:pt idx="0">
                  <c:v>0.015573976387842251</c:v>
                </c:pt>
                <c:pt idx="1">
                  <c:v>0.02575107296137339</c:v>
                </c:pt>
                <c:pt idx="2">
                  <c:v>0.03093239063190455</c:v>
                </c:pt>
                <c:pt idx="3">
                  <c:v>0.026373147340889275</c:v>
                </c:pt>
                <c:pt idx="4">
                  <c:v>0.029797642873026463</c:v>
                </c:pt>
                <c:pt idx="5">
                  <c:v>0.030796697165811203</c:v>
                </c:pt>
                <c:pt idx="6">
                  <c:v>0.03058040357811525</c:v>
                </c:pt>
                <c:pt idx="7">
                  <c:v>0.023854362837413684</c:v>
                </c:pt>
                <c:pt idx="8">
                  <c:v>0.029253602925360292</c:v>
                </c:pt>
                <c:pt idx="9">
                  <c:v>0.029473684210526315</c:v>
                </c:pt>
                <c:pt idx="10">
                  <c:v>0.031770935477544615</c:v>
                </c:pt>
                <c:pt idx="11">
                  <c:v>0.03577371048252912</c:v>
                </c:pt>
                <c:pt idx="12">
                  <c:v>0.03905160390516039</c:v>
                </c:pt>
                <c:pt idx="13">
                  <c:v>0.04071759725861721</c:v>
                </c:pt>
                <c:pt idx="14">
                  <c:v>0.03865149237706678</c:v>
                </c:pt>
                <c:pt idx="15">
                  <c:v>0.042033626901521216</c:v>
                </c:pt>
                <c:pt idx="16">
                  <c:v>0.04036058184798197</c:v>
                </c:pt>
                <c:pt idx="17">
                  <c:v>0.04706381174475302</c:v>
                </c:pt>
                <c:pt idx="18">
                  <c:v>0.043286573146292584</c:v>
                </c:pt>
                <c:pt idx="19">
                  <c:v>0.04312938816449348</c:v>
                </c:pt>
                <c:pt idx="20">
                  <c:v>0.04689403166869671</c:v>
                </c:pt>
                <c:pt idx="21">
                  <c:v>0.050268528464017186</c:v>
                </c:pt>
                <c:pt idx="22">
                  <c:v>0.05064984709480122</c:v>
                </c:pt>
                <c:pt idx="23">
                  <c:v>0.051316080513160806</c:v>
                </c:pt>
                <c:pt idx="24">
                  <c:v>0.04737827715355805</c:v>
                </c:pt>
                <c:pt idx="25">
                  <c:v>0.05121713729308666</c:v>
                </c:pt>
                <c:pt idx="26">
                  <c:v>0.04781618712481888</c:v>
                </c:pt>
                <c:pt idx="27">
                  <c:v>0.04928763958413554</c:v>
                </c:pt>
                <c:pt idx="28">
                  <c:v>0.05017265894779606</c:v>
                </c:pt>
                <c:pt idx="29">
                  <c:v>0.052776250687190766</c:v>
                </c:pt>
                <c:pt idx="30">
                  <c:v>0.04885284810126582</c:v>
                </c:pt>
                <c:pt idx="31">
                  <c:v>0.05018510900863842</c:v>
                </c:pt>
                <c:pt idx="32">
                  <c:v>0.051092318534179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Req3!$B$149</c:f>
              <c:strCache>
                <c:ptCount val="1"/>
                <c:pt idx="0">
                  <c:v>CRESTOR 20mg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Req3!$C$149:$AI$149</c:f>
              <c:numCache>
                <c:ptCount val="33"/>
                <c:pt idx="0">
                  <c:v>0.001004772670183371</c:v>
                </c:pt>
                <c:pt idx="1">
                  <c:v>0.002452483139178418</c:v>
                </c:pt>
                <c:pt idx="2">
                  <c:v>0.002209456473707468</c:v>
                </c:pt>
                <c:pt idx="3">
                  <c:v>0.002179598953792502</c:v>
                </c:pt>
                <c:pt idx="4">
                  <c:v>0.00311318656882366</c:v>
                </c:pt>
                <c:pt idx="5">
                  <c:v>0.0035706315554563713</c:v>
                </c:pt>
                <c:pt idx="6">
                  <c:v>0.004576659038901602</c:v>
                </c:pt>
                <c:pt idx="7">
                  <c:v>0.003975727139568948</c:v>
                </c:pt>
                <c:pt idx="8">
                  <c:v>0.00301140030114003</c:v>
                </c:pt>
                <c:pt idx="9">
                  <c:v>0.004678362573099415</c:v>
                </c:pt>
                <c:pt idx="10">
                  <c:v>0.005295155912924103</c:v>
                </c:pt>
                <c:pt idx="11">
                  <c:v>0.003951747088186356</c:v>
                </c:pt>
                <c:pt idx="12">
                  <c:v>0.004781829049611476</c:v>
                </c:pt>
                <c:pt idx="13">
                  <c:v>0.00463616206409998</c:v>
                </c:pt>
                <c:pt idx="14">
                  <c:v>0.0036504187245007514</c:v>
                </c:pt>
                <c:pt idx="15">
                  <c:v>0.004203362690152122</c:v>
                </c:pt>
                <c:pt idx="16">
                  <c:v>0.004917025199754148</c:v>
                </c:pt>
                <c:pt idx="17">
                  <c:v>0.003603985584057664</c:v>
                </c:pt>
                <c:pt idx="18">
                  <c:v>0.006012024048096192</c:v>
                </c:pt>
                <c:pt idx="19">
                  <c:v>0.005616850551654965</c:v>
                </c:pt>
                <c:pt idx="20">
                  <c:v>0.005075111652456354</c:v>
                </c:pt>
                <c:pt idx="21">
                  <c:v>0.0051557465091299675</c:v>
                </c:pt>
                <c:pt idx="22">
                  <c:v>0.0061162079510703364</c:v>
                </c:pt>
                <c:pt idx="23">
                  <c:v>0.004866180048661801</c:v>
                </c:pt>
                <c:pt idx="24">
                  <c:v>0.006367041198501872</c:v>
                </c:pt>
                <c:pt idx="25">
                  <c:v>0.005452775073028238</c:v>
                </c:pt>
                <c:pt idx="26">
                  <c:v>0.005795901469675016</c:v>
                </c:pt>
                <c:pt idx="27">
                  <c:v>0.007701193685021178</c:v>
                </c:pt>
                <c:pt idx="28">
                  <c:v>0.005281332520820638</c:v>
                </c:pt>
                <c:pt idx="29">
                  <c:v>0.007879787428990287</c:v>
                </c:pt>
                <c:pt idx="30">
                  <c:v>0.005735759493670886</c:v>
                </c:pt>
                <c:pt idx="31">
                  <c:v>0.005758946935417524</c:v>
                </c:pt>
                <c:pt idx="32">
                  <c:v>0.00616631430584919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Req3!$B$150</c:f>
              <c:strCache>
                <c:ptCount val="1"/>
                <c:pt idx="0">
                  <c:v>EZETROL 10mg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Req3!$C$150:$AI$150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0.0010755001075500108</c:v>
                </c:pt>
                <c:pt idx="9">
                  <c:v>0.0030409356725146198</c:v>
                </c:pt>
                <c:pt idx="10">
                  <c:v>0.006079623455579526</c:v>
                </c:pt>
                <c:pt idx="11">
                  <c:v>0.00894342762063228</c:v>
                </c:pt>
                <c:pt idx="12">
                  <c:v>0.010161386730424387</c:v>
                </c:pt>
                <c:pt idx="13">
                  <c:v>0.01612578109252167</c:v>
                </c:pt>
                <c:pt idx="14">
                  <c:v>0.015245866437620785</c:v>
                </c:pt>
                <c:pt idx="15">
                  <c:v>0.017413931144915934</c:v>
                </c:pt>
                <c:pt idx="16">
                  <c:v>0.022741241548862937</c:v>
                </c:pt>
                <c:pt idx="17">
                  <c:v>0.024379902480390077</c:v>
                </c:pt>
                <c:pt idx="18">
                  <c:v>0.022444889779559118</c:v>
                </c:pt>
                <c:pt idx="19">
                  <c:v>0.02708124373119358</c:v>
                </c:pt>
                <c:pt idx="20">
                  <c:v>0.028623629719853837</c:v>
                </c:pt>
                <c:pt idx="21">
                  <c:v>0.034156820622986035</c:v>
                </c:pt>
                <c:pt idx="22">
                  <c:v>0.03211009174311927</c:v>
                </c:pt>
                <c:pt idx="23">
                  <c:v>0.028312320283123204</c:v>
                </c:pt>
                <c:pt idx="24">
                  <c:v>0.030337078651685393</c:v>
                </c:pt>
                <c:pt idx="25">
                  <c:v>0.031742940603700094</c:v>
                </c:pt>
                <c:pt idx="26">
                  <c:v>0.03229145104533223</c:v>
                </c:pt>
                <c:pt idx="27">
                  <c:v>0.030612244897959183</c:v>
                </c:pt>
                <c:pt idx="28">
                  <c:v>0.03148486695104611</c:v>
                </c:pt>
                <c:pt idx="29">
                  <c:v>0.034634414513468936</c:v>
                </c:pt>
                <c:pt idx="30">
                  <c:v>0.03540348101265823</c:v>
                </c:pt>
                <c:pt idx="31">
                  <c:v>0.030234471410941998</c:v>
                </c:pt>
                <c:pt idx="32">
                  <c:v>0.03312191684284708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Req3!$B$151</c:f>
              <c:strCache>
                <c:ptCount val="1"/>
                <c:pt idx="0">
                  <c:v>INEGY 10/20mg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Req3!$C$151:$AI$151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0.0004060089321965083</c:v>
                </c:pt>
                <c:pt idx="21">
                  <c:v>0.001933404940923738</c:v>
                </c:pt>
                <c:pt idx="22">
                  <c:v>0.004969418960244648</c:v>
                </c:pt>
                <c:pt idx="23">
                  <c:v>0.005529750055297501</c:v>
                </c:pt>
                <c:pt idx="24">
                  <c:v>0.0054307116104868915</c:v>
                </c:pt>
                <c:pt idx="25">
                  <c:v>0.006815968841285297</c:v>
                </c:pt>
                <c:pt idx="26">
                  <c:v>0.008072862761333057</c:v>
                </c:pt>
                <c:pt idx="27">
                  <c:v>0.00712360415864459</c:v>
                </c:pt>
                <c:pt idx="28">
                  <c:v>0.007921998781230956</c:v>
                </c:pt>
                <c:pt idx="29">
                  <c:v>0.007513285688107018</c:v>
                </c:pt>
                <c:pt idx="30">
                  <c:v>0.007515822784810127</c:v>
                </c:pt>
                <c:pt idx="31">
                  <c:v>0.007610037021801728</c:v>
                </c:pt>
                <c:pt idx="32">
                  <c:v>0.009513742071881607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Req3!$B$152</c:f>
              <c:strCache>
                <c:ptCount val="1"/>
                <c:pt idx="0">
                  <c:v>INEGY 10/40mg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Req3!$C$152:$AI$152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0.0015037593984962407</c:v>
                </c:pt>
                <c:pt idx="22">
                  <c:v>0.0017201834862385322</c:v>
                </c:pt>
                <c:pt idx="23">
                  <c:v>0.0019907100199071004</c:v>
                </c:pt>
                <c:pt idx="24">
                  <c:v>0.004307116104868914</c:v>
                </c:pt>
                <c:pt idx="25">
                  <c:v>0.0038948393378773127</c:v>
                </c:pt>
                <c:pt idx="26">
                  <c:v>0.005381908507555371</c:v>
                </c:pt>
                <c:pt idx="27">
                  <c:v>0.005390835579514825</c:v>
                </c:pt>
                <c:pt idx="28">
                  <c:v>0.006296973390209222</c:v>
                </c:pt>
                <c:pt idx="29">
                  <c:v>0.008246289169873557</c:v>
                </c:pt>
                <c:pt idx="30">
                  <c:v>0.006329113924050633</c:v>
                </c:pt>
                <c:pt idx="31">
                  <c:v>0.005964623611682435</c:v>
                </c:pt>
                <c:pt idx="32">
                  <c:v>0.0065186751233262865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Req3!$B$153</c:f>
              <c:strCache>
                <c:ptCount val="1"/>
                <c:pt idx="0">
                  <c:v>LIPUR 450mg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Req3!$C$153:$AI$153</c:f>
              <c:numCache>
                <c:ptCount val="33"/>
                <c:pt idx="0">
                  <c:v>0.0012559658377292139</c:v>
                </c:pt>
                <c:pt idx="1">
                  <c:v>0.002248109544246883</c:v>
                </c:pt>
                <c:pt idx="2">
                  <c:v>0.0017675651789659744</c:v>
                </c:pt>
                <c:pt idx="3">
                  <c:v>0.0015257192676547515</c:v>
                </c:pt>
                <c:pt idx="4">
                  <c:v>0.00155659328441183</c:v>
                </c:pt>
                <c:pt idx="5">
                  <c:v>0.002901138138808302</c:v>
                </c:pt>
                <c:pt idx="6">
                  <c:v>0.0027043894320782193</c:v>
                </c:pt>
                <c:pt idx="7">
                  <c:v>0.002092487968194183</c:v>
                </c:pt>
                <c:pt idx="8">
                  <c:v>0.00301140030114003</c:v>
                </c:pt>
                <c:pt idx="9">
                  <c:v>0.002105263157894737</c:v>
                </c:pt>
                <c:pt idx="10">
                  <c:v>0.002353402627966268</c:v>
                </c:pt>
                <c:pt idx="11">
                  <c:v>0.0022878535773710484</c:v>
                </c:pt>
                <c:pt idx="12">
                  <c:v>0.0033871289101414623</c:v>
                </c:pt>
                <c:pt idx="13">
                  <c:v>0.0022172949002217295</c:v>
                </c:pt>
                <c:pt idx="14">
                  <c:v>0.002576766158471119</c:v>
                </c:pt>
                <c:pt idx="15">
                  <c:v>0.0028022417934347476</c:v>
                </c:pt>
                <c:pt idx="16">
                  <c:v>0.003278016799836099</c:v>
                </c:pt>
                <c:pt idx="17">
                  <c:v>0.002755988976044096</c:v>
                </c:pt>
                <c:pt idx="18">
                  <c:v>0.0022044088176352704</c:v>
                </c:pt>
                <c:pt idx="19">
                  <c:v>0.0028084252758274826</c:v>
                </c:pt>
                <c:pt idx="20">
                  <c:v>0.0036540803897685747</c:v>
                </c:pt>
                <c:pt idx="21">
                  <c:v>0.0030075187969924814</c:v>
                </c:pt>
                <c:pt idx="22">
                  <c:v>0.00191131498470948</c:v>
                </c:pt>
                <c:pt idx="23">
                  <c:v>0.0026542800265428003</c:v>
                </c:pt>
                <c:pt idx="24">
                  <c:v>0.0026217228464419477</c:v>
                </c:pt>
                <c:pt idx="25">
                  <c:v>0.0029211295034079843</c:v>
                </c:pt>
                <c:pt idx="26">
                  <c:v>0.002483957772717864</c:v>
                </c:pt>
                <c:pt idx="27">
                  <c:v>0.0034655371582595304</c:v>
                </c:pt>
                <c:pt idx="28">
                  <c:v>0.0032500507820434695</c:v>
                </c:pt>
                <c:pt idx="29">
                  <c:v>0.0038482682792743265</c:v>
                </c:pt>
                <c:pt idx="30">
                  <c:v>0.003560126582278481</c:v>
                </c:pt>
                <c:pt idx="31">
                  <c:v>0.0024681201151789387</c:v>
                </c:pt>
                <c:pt idx="32">
                  <c:v>0.0029950669485553204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Req3!$B$154</c:f>
              <c:strCache>
                <c:ptCount val="1"/>
                <c:pt idx="0">
                  <c:v>Fénofibrate 67mg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Req3!$C$154:$AI$154</c:f>
              <c:numCache>
                <c:ptCount val="33"/>
                <c:pt idx="0">
                  <c:v>0.017583521728208994</c:v>
                </c:pt>
                <c:pt idx="1">
                  <c:v>0.017984876353975065</c:v>
                </c:pt>
                <c:pt idx="2">
                  <c:v>0.017012814847547502</c:v>
                </c:pt>
                <c:pt idx="3">
                  <c:v>0.018744551002615517</c:v>
                </c:pt>
                <c:pt idx="4">
                  <c:v>0.01890148988214365</c:v>
                </c:pt>
                <c:pt idx="5">
                  <c:v>0.015398348582905601</c:v>
                </c:pt>
                <c:pt idx="6">
                  <c:v>0.016850426461410443</c:v>
                </c:pt>
                <c:pt idx="7">
                  <c:v>0.016321406151914627</c:v>
                </c:pt>
                <c:pt idx="8">
                  <c:v>0.016132501613250163</c:v>
                </c:pt>
                <c:pt idx="9">
                  <c:v>0.0152046783625731</c:v>
                </c:pt>
                <c:pt idx="10">
                  <c:v>0.017650519709747008</c:v>
                </c:pt>
                <c:pt idx="11">
                  <c:v>0.01622296173044925</c:v>
                </c:pt>
                <c:pt idx="12">
                  <c:v>0.017134887427774456</c:v>
                </c:pt>
                <c:pt idx="13">
                  <c:v>0.01431163071961298</c:v>
                </c:pt>
                <c:pt idx="14">
                  <c:v>0.01438694438479708</c:v>
                </c:pt>
                <c:pt idx="15">
                  <c:v>0.012810248198558846</c:v>
                </c:pt>
                <c:pt idx="16">
                  <c:v>0.015775455849211226</c:v>
                </c:pt>
                <c:pt idx="17">
                  <c:v>0.014839940640237439</c:v>
                </c:pt>
                <c:pt idx="18">
                  <c:v>0.013226452905811623</c:v>
                </c:pt>
                <c:pt idx="19">
                  <c:v>0.01424272818455366</c:v>
                </c:pt>
                <c:pt idx="20">
                  <c:v>0.012383272431993504</c:v>
                </c:pt>
                <c:pt idx="21">
                  <c:v>0.01439312567132116</c:v>
                </c:pt>
                <c:pt idx="22">
                  <c:v>0.012805810397553517</c:v>
                </c:pt>
                <c:pt idx="23">
                  <c:v>0.014156160141561602</c:v>
                </c:pt>
                <c:pt idx="24">
                  <c:v>0.014232209737827715</c:v>
                </c:pt>
                <c:pt idx="25">
                  <c:v>0.013242453748782863</c:v>
                </c:pt>
                <c:pt idx="26">
                  <c:v>0.013040778306768785</c:v>
                </c:pt>
                <c:pt idx="27">
                  <c:v>0.011551790527531768</c:v>
                </c:pt>
                <c:pt idx="28">
                  <c:v>0.013812715823684745</c:v>
                </c:pt>
                <c:pt idx="29">
                  <c:v>0.010445299615173173</c:v>
                </c:pt>
                <c:pt idx="30">
                  <c:v>0.013844936708860759</c:v>
                </c:pt>
                <c:pt idx="31">
                  <c:v>0.01316330728095434</c:v>
                </c:pt>
                <c:pt idx="32">
                  <c:v>0.011099365750528542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Req3!$B$155</c:f>
              <c:strCache>
                <c:ptCount val="1"/>
                <c:pt idx="0">
                  <c:v>Fénofibrate 100mg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Req3!$C$155:$AI$155</c:f>
              <c:numCache>
                <c:ptCount val="33"/>
                <c:pt idx="0">
                  <c:v>0.008038181361466968</c:v>
                </c:pt>
                <c:pt idx="1">
                  <c:v>0.009605558961782138</c:v>
                </c:pt>
                <c:pt idx="2">
                  <c:v>0.011489173663278833</c:v>
                </c:pt>
                <c:pt idx="3">
                  <c:v>0.007192676547515257</c:v>
                </c:pt>
                <c:pt idx="4">
                  <c:v>0.00822770736046253</c:v>
                </c:pt>
                <c:pt idx="5">
                  <c:v>0.0060254407498326265</c:v>
                </c:pt>
                <c:pt idx="6">
                  <c:v>0.007073018514666112</c:v>
                </c:pt>
                <c:pt idx="7">
                  <c:v>0.006486712701401967</c:v>
                </c:pt>
                <c:pt idx="8">
                  <c:v>0.006883200688320069</c:v>
                </c:pt>
                <c:pt idx="9">
                  <c:v>0.007251461988304094</c:v>
                </c:pt>
                <c:pt idx="10">
                  <c:v>0.007452441655226515</c:v>
                </c:pt>
                <c:pt idx="11">
                  <c:v>0.006447587354409318</c:v>
                </c:pt>
                <c:pt idx="12">
                  <c:v>0.007969715082685794</c:v>
                </c:pt>
                <c:pt idx="13">
                  <c:v>0.006248740173352147</c:v>
                </c:pt>
                <c:pt idx="14">
                  <c:v>0.005797723856560017</c:v>
                </c:pt>
                <c:pt idx="15">
                  <c:v>0.006204963971176942</c:v>
                </c:pt>
                <c:pt idx="16">
                  <c:v>0.007170661749641467</c:v>
                </c:pt>
                <c:pt idx="17">
                  <c:v>0.006995972016111935</c:v>
                </c:pt>
                <c:pt idx="18">
                  <c:v>0.006613226452905812</c:v>
                </c:pt>
                <c:pt idx="19">
                  <c:v>0.00802407221664995</c:v>
                </c:pt>
                <c:pt idx="20">
                  <c:v>0.007105156313438896</c:v>
                </c:pt>
                <c:pt idx="21">
                  <c:v>0.007089151450053705</c:v>
                </c:pt>
                <c:pt idx="22">
                  <c:v>0.005925076452599388</c:v>
                </c:pt>
                <c:pt idx="23">
                  <c:v>0.006414510064145101</c:v>
                </c:pt>
                <c:pt idx="24">
                  <c:v>0.0058052434456928835</c:v>
                </c:pt>
                <c:pt idx="25">
                  <c:v>0.005063291139240506</c:v>
                </c:pt>
                <c:pt idx="26">
                  <c:v>0.006002897950734837</c:v>
                </c:pt>
                <c:pt idx="27">
                  <c:v>0.006546014632268001</c:v>
                </c:pt>
                <c:pt idx="28">
                  <c:v>0.005078204346942921</c:v>
                </c:pt>
                <c:pt idx="29">
                  <c:v>0.006597031335898846</c:v>
                </c:pt>
                <c:pt idx="30">
                  <c:v>0.005933544303797469</c:v>
                </c:pt>
                <c:pt idx="31">
                  <c:v>0.005964623611682435</c:v>
                </c:pt>
                <c:pt idx="32">
                  <c:v>0.004933051444679351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Req3!$B$156</c:f>
              <c:strCache>
                <c:ptCount val="1"/>
                <c:pt idx="0">
                  <c:v>Fénofibrate 140mg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Req3!$C$156:$AI$156</c:f>
              <c:numCache>
                <c:ptCount val="33"/>
                <c:pt idx="0">
                  <c:v>0.004019090680733484</c:v>
                </c:pt>
                <c:pt idx="1">
                  <c:v>0.002861230329041488</c:v>
                </c:pt>
                <c:pt idx="2">
                  <c:v>0.0024304021210782146</c:v>
                </c:pt>
                <c:pt idx="3">
                  <c:v>0.003051438535309503</c:v>
                </c:pt>
                <c:pt idx="4">
                  <c:v>0.00355792750722704</c:v>
                </c:pt>
                <c:pt idx="5">
                  <c:v>0.004240124972104441</c:v>
                </c:pt>
                <c:pt idx="6">
                  <c:v>0.003536509257333056</c:v>
                </c:pt>
                <c:pt idx="7">
                  <c:v>0.003138731952291274</c:v>
                </c:pt>
                <c:pt idx="8">
                  <c:v>0.004086900408690041</c:v>
                </c:pt>
                <c:pt idx="9">
                  <c:v>0.0044444444444444444</c:v>
                </c:pt>
                <c:pt idx="10">
                  <c:v>0.0029417532849578347</c:v>
                </c:pt>
                <c:pt idx="11">
                  <c:v>0.003119800332778702</c:v>
                </c:pt>
                <c:pt idx="12">
                  <c:v>0.002390914524805738</c:v>
                </c:pt>
                <c:pt idx="13">
                  <c:v>0.002620439427534771</c:v>
                </c:pt>
                <c:pt idx="14">
                  <c:v>0.0027914966716770452</c:v>
                </c:pt>
                <c:pt idx="15">
                  <c:v>0.002602081665332266</c:v>
                </c:pt>
                <c:pt idx="16">
                  <c:v>0.0036877688998156115</c:v>
                </c:pt>
                <c:pt idx="17">
                  <c:v>0.002967988128047488</c:v>
                </c:pt>
                <c:pt idx="18">
                  <c:v>0.0036072144288577155</c:v>
                </c:pt>
                <c:pt idx="19">
                  <c:v>0.003009027081243731</c:v>
                </c:pt>
                <c:pt idx="20">
                  <c:v>0.003451075923670321</c:v>
                </c:pt>
                <c:pt idx="21">
                  <c:v>0.0027926960257787323</c:v>
                </c:pt>
                <c:pt idx="22">
                  <c:v>0.0030581039755351682</c:v>
                </c:pt>
                <c:pt idx="23">
                  <c:v>0.0033178500331785005</c:v>
                </c:pt>
                <c:pt idx="24">
                  <c:v>0.003932584269662922</c:v>
                </c:pt>
                <c:pt idx="25">
                  <c:v>0.003310613437195716</c:v>
                </c:pt>
                <c:pt idx="26">
                  <c:v>0.003932933140136618</c:v>
                </c:pt>
                <c:pt idx="27">
                  <c:v>0.0032730073161340006</c:v>
                </c:pt>
                <c:pt idx="28">
                  <c:v>0.004062563477554337</c:v>
                </c:pt>
                <c:pt idx="29">
                  <c:v>0.002748763056624519</c:v>
                </c:pt>
                <c:pt idx="30">
                  <c:v>0.0025712025316455694</c:v>
                </c:pt>
                <c:pt idx="31">
                  <c:v>0.0034965034965034965</c:v>
                </c:pt>
                <c:pt idx="32">
                  <c:v>0.003875968992248062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Req3!$B$157</c:f>
              <c:strCache>
                <c:ptCount val="1"/>
                <c:pt idx="0">
                  <c:v>Fénofibrate 145mg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Req3!$C$157:$AI$157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0.008983180428134556</c:v>
                </c:pt>
                <c:pt idx="23">
                  <c:v>0.0203494802034948</c:v>
                </c:pt>
                <c:pt idx="24">
                  <c:v>0.029400749063670413</c:v>
                </c:pt>
                <c:pt idx="25">
                  <c:v>0.03894839337877313</c:v>
                </c:pt>
                <c:pt idx="26">
                  <c:v>0.043262264541502796</c:v>
                </c:pt>
                <c:pt idx="27">
                  <c:v>0.04851752021563342</c:v>
                </c:pt>
                <c:pt idx="28">
                  <c:v>0.04976640260004062</c:v>
                </c:pt>
                <c:pt idx="29">
                  <c:v>0.05002748763056625</c:v>
                </c:pt>
                <c:pt idx="30">
                  <c:v>0.0535996835443038</c:v>
                </c:pt>
                <c:pt idx="31">
                  <c:v>0.058412176059234884</c:v>
                </c:pt>
                <c:pt idx="32">
                  <c:v>0.056906272022551094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Req3!$B$158</c:f>
              <c:strCache>
                <c:ptCount val="1"/>
                <c:pt idx="0">
                  <c:v>Fénofibrate 160mg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Req3!$C$158:$AI$158</c:f>
              <c:numCache>
                <c:ptCount val="33"/>
                <c:pt idx="0">
                  <c:v>0.11479527756845014</c:v>
                </c:pt>
                <c:pt idx="1">
                  <c:v>0.11547108113631718</c:v>
                </c:pt>
                <c:pt idx="2">
                  <c:v>0.11157755192222714</c:v>
                </c:pt>
                <c:pt idx="3">
                  <c:v>0.11573670444638187</c:v>
                </c:pt>
                <c:pt idx="4">
                  <c:v>0.11629975539248388</c:v>
                </c:pt>
                <c:pt idx="5">
                  <c:v>0.11693818344119616</c:v>
                </c:pt>
                <c:pt idx="6">
                  <c:v>0.1250260037445392</c:v>
                </c:pt>
                <c:pt idx="7">
                  <c:v>0.12052730696798493</c:v>
                </c:pt>
                <c:pt idx="8">
                  <c:v>0.12454291245429125</c:v>
                </c:pt>
                <c:pt idx="9">
                  <c:v>0.13005847953216373</c:v>
                </c:pt>
                <c:pt idx="10">
                  <c:v>0.12433810551088449</c:v>
                </c:pt>
                <c:pt idx="11">
                  <c:v>0.12562396006655574</c:v>
                </c:pt>
                <c:pt idx="12">
                  <c:v>0.12412831241283125</c:v>
                </c:pt>
                <c:pt idx="13">
                  <c:v>0.1197339246119734</c:v>
                </c:pt>
                <c:pt idx="14">
                  <c:v>0.12261112304058407</c:v>
                </c:pt>
                <c:pt idx="15">
                  <c:v>0.12029623698959167</c:v>
                </c:pt>
                <c:pt idx="16">
                  <c:v>0.12087686949395615</c:v>
                </c:pt>
                <c:pt idx="17">
                  <c:v>0.11999152003391987</c:v>
                </c:pt>
                <c:pt idx="18">
                  <c:v>0.1254509018036072</c:v>
                </c:pt>
                <c:pt idx="19">
                  <c:v>0.11675025075225677</c:v>
                </c:pt>
                <c:pt idx="20">
                  <c:v>0.11652456354039789</c:v>
                </c:pt>
                <c:pt idx="21">
                  <c:v>0.10998925886143932</c:v>
                </c:pt>
                <c:pt idx="22">
                  <c:v>0.10818042813455657</c:v>
                </c:pt>
                <c:pt idx="23">
                  <c:v>0.09334218093342181</c:v>
                </c:pt>
                <c:pt idx="24">
                  <c:v>0.08632958801498128</c:v>
                </c:pt>
                <c:pt idx="25">
                  <c:v>0.07945472249269718</c:v>
                </c:pt>
                <c:pt idx="26">
                  <c:v>0.06975781411716</c:v>
                </c:pt>
                <c:pt idx="27">
                  <c:v>0.07239122063919907</c:v>
                </c:pt>
                <c:pt idx="28">
                  <c:v>0.06764168190127971</c:v>
                </c:pt>
                <c:pt idx="29">
                  <c:v>0.06340480117280557</c:v>
                </c:pt>
                <c:pt idx="30">
                  <c:v>0.0625</c:v>
                </c:pt>
                <c:pt idx="31">
                  <c:v>0.05738379267791033</c:v>
                </c:pt>
                <c:pt idx="32">
                  <c:v>0.055849189570119806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Req3!$B$159</c:f>
              <c:strCache>
                <c:ptCount val="1"/>
                <c:pt idx="0">
                  <c:v>Fénofibrate 200mg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Req3!$C$159:$AI$159</c:f>
              <c:numCache>
                <c:ptCount val="33"/>
                <c:pt idx="0">
                  <c:v>0.08716402913840743</c:v>
                </c:pt>
                <c:pt idx="1">
                  <c:v>0.0844062947067239</c:v>
                </c:pt>
                <c:pt idx="2">
                  <c:v>0.07954043305346885</c:v>
                </c:pt>
                <c:pt idx="3">
                  <c:v>0.08238884045335658</c:v>
                </c:pt>
                <c:pt idx="4">
                  <c:v>0.08316655548143206</c:v>
                </c:pt>
                <c:pt idx="5">
                  <c:v>0.08591832180316894</c:v>
                </c:pt>
                <c:pt idx="6">
                  <c:v>0.08342001248179738</c:v>
                </c:pt>
                <c:pt idx="7">
                  <c:v>0.0811885331659343</c:v>
                </c:pt>
                <c:pt idx="8">
                  <c:v>0.07334910733491073</c:v>
                </c:pt>
                <c:pt idx="9">
                  <c:v>0.072046783625731</c:v>
                </c:pt>
                <c:pt idx="10">
                  <c:v>0.07883898803686998</c:v>
                </c:pt>
                <c:pt idx="11">
                  <c:v>0.07529118136439268</c:v>
                </c:pt>
                <c:pt idx="12">
                  <c:v>0.07212592149830643</c:v>
                </c:pt>
                <c:pt idx="13">
                  <c:v>0.0743801652892562</c:v>
                </c:pt>
                <c:pt idx="14">
                  <c:v>0.07343783551642688</c:v>
                </c:pt>
                <c:pt idx="15">
                  <c:v>0.0744595676541233</c:v>
                </c:pt>
                <c:pt idx="16">
                  <c:v>0.07805777504609711</c:v>
                </c:pt>
                <c:pt idx="17">
                  <c:v>0.07801568793724825</c:v>
                </c:pt>
                <c:pt idx="18">
                  <c:v>0.07054108216432865</c:v>
                </c:pt>
                <c:pt idx="19">
                  <c:v>0.07662988966900702</c:v>
                </c:pt>
                <c:pt idx="20">
                  <c:v>0.07044254973609419</c:v>
                </c:pt>
                <c:pt idx="21">
                  <c:v>0.07540279269602577</c:v>
                </c:pt>
                <c:pt idx="22">
                  <c:v>0.06670489296636085</c:v>
                </c:pt>
                <c:pt idx="23">
                  <c:v>0.06901128069011281</c:v>
                </c:pt>
                <c:pt idx="24">
                  <c:v>0.06610486891385768</c:v>
                </c:pt>
                <c:pt idx="25">
                  <c:v>0.06426484907497566</c:v>
                </c:pt>
                <c:pt idx="26">
                  <c:v>0.0602359759884082</c:v>
                </c:pt>
                <c:pt idx="27">
                  <c:v>0.05968425105891413</c:v>
                </c:pt>
                <c:pt idx="28">
                  <c:v>0.06418850294535852</c:v>
                </c:pt>
                <c:pt idx="29">
                  <c:v>0.06597031335898845</c:v>
                </c:pt>
                <c:pt idx="30">
                  <c:v>0.06151107594936709</c:v>
                </c:pt>
                <c:pt idx="31">
                  <c:v>0.06108597285067873</c:v>
                </c:pt>
                <c:pt idx="32">
                  <c:v>0.05637773079633545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Req3!$B$160</c:f>
              <c:strCache>
                <c:ptCount val="1"/>
                <c:pt idx="0">
                  <c:v>Fénofibrate 300mg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Req3!$C$160:$AI$160</c:f>
              <c:numCache>
                <c:ptCount val="33"/>
                <c:pt idx="0">
                  <c:v>0.02989198693795529</c:v>
                </c:pt>
                <c:pt idx="1">
                  <c:v>0.03351726956877171</c:v>
                </c:pt>
                <c:pt idx="2">
                  <c:v>0.032920901458241274</c:v>
                </c:pt>
                <c:pt idx="3">
                  <c:v>0.025283347863993024</c:v>
                </c:pt>
                <c:pt idx="4">
                  <c:v>0.030020013342228154</c:v>
                </c:pt>
                <c:pt idx="5">
                  <c:v>0.0278955590270029</c:v>
                </c:pt>
                <c:pt idx="6">
                  <c:v>0.026627834408154773</c:v>
                </c:pt>
                <c:pt idx="7">
                  <c:v>0.02929483155471856</c:v>
                </c:pt>
                <c:pt idx="8">
                  <c:v>0.02602710260271026</c:v>
                </c:pt>
                <c:pt idx="9">
                  <c:v>0.028304093567251463</c:v>
                </c:pt>
                <c:pt idx="10">
                  <c:v>0.025887428907628948</c:v>
                </c:pt>
                <c:pt idx="11">
                  <c:v>0.02267054908485857</c:v>
                </c:pt>
                <c:pt idx="12">
                  <c:v>0.026897788404064555</c:v>
                </c:pt>
                <c:pt idx="13">
                  <c:v>0.023785527111469463</c:v>
                </c:pt>
                <c:pt idx="14">
                  <c:v>0.02362035645265192</c:v>
                </c:pt>
                <c:pt idx="15">
                  <c:v>0.02502001601281025</c:v>
                </c:pt>
                <c:pt idx="16">
                  <c:v>0.027043638598647817</c:v>
                </c:pt>
                <c:pt idx="17">
                  <c:v>0.028195887216451134</c:v>
                </c:pt>
                <c:pt idx="18">
                  <c:v>0.023847695390781562</c:v>
                </c:pt>
                <c:pt idx="19">
                  <c:v>0.025877632898696087</c:v>
                </c:pt>
                <c:pt idx="20">
                  <c:v>0.02639058059277304</c:v>
                </c:pt>
                <c:pt idx="21">
                  <c:v>0.02406015037593985</c:v>
                </c:pt>
                <c:pt idx="22">
                  <c:v>0.02484709480122324</c:v>
                </c:pt>
                <c:pt idx="23">
                  <c:v>0.024109710241097104</c:v>
                </c:pt>
                <c:pt idx="24">
                  <c:v>0.020973782771535582</c:v>
                </c:pt>
                <c:pt idx="25">
                  <c:v>0.022590068159688413</c:v>
                </c:pt>
                <c:pt idx="26">
                  <c:v>0.020492651624922375</c:v>
                </c:pt>
                <c:pt idx="27">
                  <c:v>0.022525991528686947</c:v>
                </c:pt>
                <c:pt idx="28">
                  <c:v>0.021531586431037985</c:v>
                </c:pt>
                <c:pt idx="29">
                  <c:v>0.022173355323437786</c:v>
                </c:pt>
                <c:pt idx="30">
                  <c:v>0.021360759493670885</c:v>
                </c:pt>
                <c:pt idx="31">
                  <c:v>0.01830522418757713</c:v>
                </c:pt>
                <c:pt idx="32">
                  <c:v>0.0200845665961945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Req3!$B$161</c:f>
              <c:strCache>
                <c:ptCount val="1"/>
                <c:pt idx="0">
                  <c:v>CADUET® (=TAHOR® 10mg)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Req3!$C$132:$AI$132</c:f>
              <c:strCache>
                <c:ptCount val="33"/>
                <c:pt idx="0">
                  <c:v>mai-4</c:v>
                </c:pt>
                <c:pt idx="1">
                  <c:v>juin-4</c:v>
                </c:pt>
                <c:pt idx="2">
                  <c:v>juil-4</c:v>
                </c:pt>
                <c:pt idx="3">
                  <c:v>août-4</c:v>
                </c:pt>
                <c:pt idx="4">
                  <c:v>sept-4</c:v>
                </c:pt>
                <c:pt idx="5">
                  <c:v>oct-4</c:v>
                </c:pt>
                <c:pt idx="6">
                  <c:v>nov-4</c:v>
                </c:pt>
                <c:pt idx="7">
                  <c:v>déc04</c:v>
                </c:pt>
                <c:pt idx="8">
                  <c:v>janv-5</c:v>
                </c:pt>
                <c:pt idx="9">
                  <c:v>fév-5</c:v>
                </c:pt>
                <c:pt idx="10">
                  <c:v>mars-5</c:v>
                </c:pt>
                <c:pt idx="11">
                  <c:v>avr-5</c:v>
                </c:pt>
                <c:pt idx="12">
                  <c:v>mai-5</c:v>
                </c:pt>
                <c:pt idx="13">
                  <c:v>juin-5</c:v>
                </c:pt>
                <c:pt idx="14">
                  <c:v>juil-5</c:v>
                </c:pt>
                <c:pt idx="15">
                  <c:v>août-5</c:v>
                </c:pt>
                <c:pt idx="16">
                  <c:v>sept-5</c:v>
                </c:pt>
                <c:pt idx="17">
                  <c:v>oct-5</c:v>
                </c:pt>
                <c:pt idx="18">
                  <c:v>nov-5</c:v>
                </c:pt>
                <c:pt idx="19">
                  <c:v>déc-5</c:v>
                </c:pt>
                <c:pt idx="20">
                  <c:v>janv-6</c:v>
                </c:pt>
                <c:pt idx="21">
                  <c:v>fév-6</c:v>
                </c:pt>
                <c:pt idx="22">
                  <c:v>mars-6</c:v>
                </c:pt>
                <c:pt idx="23">
                  <c:v>avr-6</c:v>
                </c:pt>
                <c:pt idx="24">
                  <c:v>mai-6</c:v>
                </c:pt>
                <c:pt idx="25">
                  <c:v>juin-6</c:v>
                </c:pt>
                <c:pt idx="26">
                  <c:v>juil-6</c:v>
                </c:pt>
                <c:pt idx="27">
                  <c:v>août-6</c:v>
                </c:pt>
                <c:pt idx="28">
                  <c:v>sept-06</c:v>
                </c:pt>
                <c:pt idx="29">
                  <c:v>oct-06</c:v>
                </c:pt>
                <c:pt idx="30">
                  <c:v>nov-06</c:v>
                </c:pt>
                <c:pt idx="31">
                  <c:v>déc-06</c:v>
                </c:pt>
                <c:pt idx="32">
                  <c:v>janv-07</c:v>
                </c:pt>
              </c:strCache>
            </c:strRef>
          </c:cat>
          <c:val>
            <c:numRef>
              <c:f>Req3!$C$161:$AI$161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0.0008809020436927414</c:v>
                </c:pt>
              </c:numCache>
            </c:numRef>
          </c:val>
          <c:smooth val="0"/>
        </c:ser>
        <c:marker val="1"/>
        <c:axId val="41788511"/>
        <c:axId val="40552280"/>
      </c:lineChart>
      <c:catAx>
        <c:axId val="41788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42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552280"/>
        <c:crosses val="autoZero"/>
        <c:auto val="1"/>
        <c:lblOffset val="100"/>
        <c:noMultiLvlLbl val="0"/>
      </c:catAx>
      <c:valAx>
        <c:axId val="40552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Nbre boites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885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"/>
          <c:w val="0.175"/>
          <c:h val="1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0.64825</cdr:x>
      <cdr:y>0.23375</cdr:y>
    </cdr:from>
    <cdr:to>
      <cdr:x>0.80275</cdr:x>
      <cdr:y>0.29275</cdr:y>
    </cdr:to>
    <cdr:sp>
      <cdr:nvSpPr>
        <cdr:cNvPr id="1" name="AutoShape 1"/>
        <cdr:cNvSpPr>
          <a:spLocks/>
        </cdr:cNvSpPr>
      </cdr:nvSpPr>
      <cdr:spPr>
        <a:xfrm rot="20993986">
          <a:off x="5981700" y="1343025"/>
          <a:ext cx="1428750" cy="342900"/>
        </a:xfrm>
        <a:prstGeom prst="curvedDownArrow">
          <a:avLst>
            <a:gd name="adj1" fmla="val 37060"/>
            <a:gd name="adj2" fmla="val -24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</cdr:x>
      <cdr:y>0.2205</cdr:y>
    </cdr:from>
    <cdr:to>
      <cdr:x>0.688</cdr:x>
      <cdr:y>0.2795</cdr:y>
    </cdr:to>
    <cdr:sp>
      <cdr:nvSpPr>
        <cdr:cNvPr id="2" name="TextBox 2"/>
        <cdr:cNvSpPr txBox="1">
          <a:spLocks noChangeArrowheads="1"/>
        </cdr:cNvSpPr>
      </cdr:nvSpPr>
      <cdr:spPr>
        <a:xfrm>
          <a:off x="5819775" y="1266825"/>
          <a:ext cx="533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+7,6%</a:t>
          </a:r>
        </a:p>
      </cdr:txBody>
    </cdr:sp>
  </cdr:relSizeAnchor>
  <cdr:relSizeAnchor xmlns:cdr="http://schemas.openxmlformats.org/drawingml/2006/chartDrawing">
    <cdr:from>
      <cdr:x>0.128</cdr:x>
      <cdr:y>0.2155</cdr:y>
    </cdr:from>
    <cdr:to>
      <cdr:x>0.54475</cdr:x>
      <cdr:y>0.29025</cdr:y>
    </cdr:to>
    <cdr:sp>
      <cdr:nvSpPr>
        <cdr:cNvPr id="3" name="TextBox 3"/>
        <cdr:cNvSpPr txBox="1">
          <a:spLocks noChangeArrowheads="1"/>
        </cdr:cNvSpPr>
      </cdr:nvSpPr>
      <cdr:spPr>
        <a:xfrm>
          <a:off x="1181100" y="1238250"/>
          <a:ext cx="38481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patientèle sous hypolipémiant a augmenté de +11,8% en un an et de 7,6% depuis août 2006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0.242</cdr:y>
    </cdr:from>
    <cdr:to>
      <cdr:x>0.959</cdr:x>
      <cdr:y>0.32825</cdr:y>
    </cdr:to>
    <cdr:sp>
      <cdr:nvSpPr>
        <cdr:cNvPr id="1" name="TextBox 2"/>
        <cdr:cNvSpPr txBox="1">
          <a:spLocks noChangeArrowheads="1"/>
        </cdr:cNvSpPr>
      </cdr:nvSpPr>
      <cdr:spPr>
        <a:xfrm>
          <a:off x="7734300" y="1390650"/>
          <a:ext cx="11239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-0,7% depuis  
   juil-06</a:t>
          </a:r>
        </a:p>
      </cdr:txBody>
    </cdr:sp>
  </cdr:relSizeAnchor>
  <cdr:relSizeAnchor xmlns:cdr="http://schemas.openxmlformats.org/drawingml/2006/chartDrawing">
    <cdr:from>
      <cdr:x>0.66375</cdr:x>
      <cdr:y>0.15825</cdr:y>
    </cdr:from>
    <cdr:to>
      <cdr:x>0.66375</cdr:x>
      <cdr:y>0.85025</cdr:y>
    </cdr:to>
    <cdr:sp>
      <cdr:nvSpPr>
        <cdr:cNvPr id="2" name="Line 3"/>
        <cdr:cNvSpPr>
          <a:spLocks/>
        </cdr:cNvSpPr>
      </cdr:nvSpPr>
      <cdr:spPr>
        <a:xfrm>
          <a:off x="6124575" y="904875"/>
          <a:ext cx="0" cy="398145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0.807</cdr:x>
      <cdr:y>0.27325</cdr:y>
    </cdr:from>
    <cdr:to>
      <cdr:x>0.8375</cdr:x>
      <cdr:y>0.2915</cdr:y>
    </cdr:to>
    <cdr:sp>
      <cdr:nvSpPr>
        <cdr:cNvPr id="3" name="AutoShape 4"/>
        <cdr:cNvSpPr>
          <a:spLocks/>
        </cdr:cNvSpPr>
      </cdr:nvSpPr>
      <cdr:spPr>
        <a:xfrm>
          <a:off x="7448550" y="1571625"/>
          <a:ext cx="285750" cy="1047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AI53"/>
  <sheetViews>
    <sheetView workbookViewId="0" topLeftCell="A16">
      <selection activeCell="C56" sqref="C56"/>
    </sheetView>
  </sheetViews>
  <sheetFormatPr defaultColWidth="11.421875" defaultRowHeight="12.75"/>
  <cols>
    <col min="2" max="2" width="13.8515625" style="0" customWidth="1"/>
  </cols>
  <sheetData>
    <row r="5" spans="2:35" ht="13.5" thickBot="1">
      <c r="B5" s="111" t="s">
        <v>120</v>
      </c>
      <c r="C5" s="12">
        <v>38108</v>
      </c>
      <c r="D5" s="12">
        <v>38139</v>
      </c>
      <c r="E5" s="12">
        <v>38169</v>
      </c>
      <c r="F5" s="12">
        <v>38200</v>
      </c>
      <c r="G5" s="12">
        <v>38231</v>
      </c>
      <c r="H5" s="12">
        <v>38261</v>
      </c>
      <c r="I5" s="12">
        <v>38292</v>
      </c>
      <c r="J5" s="12">
        <v>38322</v>
      </c>
      <c r="K5" s="12">
        <v>38353</v>
      </c>
      <c r="L5" s="12">
        <v>38384</v>
      </c>
      <c r="M5" s="12">
        <v>38412</v>
      </c>
      <c r="N5" s="12">
        <v>38443</v>
      </c>
      <c r="O5" s="12">
        <v>38473</v>
      </c>
      <c r="P5" s="12">
        <v>38504</v>
      </c>
      <c r="Q5" s="12">
        <v>38534</v>
      </c>
      <c r="R5" s="12">
        <v>38565</v>
      </c>
      <c r="S5" s="12">
        <v>38596</v>
      </c>
      <c r="T5" s="12">
        <v>38626</v>
      </c>
      <c r="U5" s="12">
        <v>38657</v>
      </c>
      <c r="V5" s="12">
        <v>38687</v>
      </c>
      <c r="W5" s="12">
        <v>38718</v>
      </c>
      <c r="X5" s="12">
        <v>38749</v>
      </c>
      <c r="Y5" s="12">
        <v>38777</v>
      </c>
      <c r="Z5" s="12">
        <v>38808</v>
      </c>
      <c r="AA5" s="12">
        <v>38838</v>
      </c>
      <c r="AB5" s="12">
        <v>38869</v>
      </c>
      <c r="AC5" s="12">
        <v>38899</v>
      </c>
      <c r="AD5" s="12">
        <v>38930</v>
      </c>
      <c r="AE5" s="12">
        <v>38961</v>
      </c>
      <c r="AF5" s="12">
        <v>38991</v>
      </c>
      <c r="AG5" s="12">
        <v>39022</v>
      </c>
      <c r="AH5" s="12">
        <v>39052</v>
      </c>
      <c r="AI5" s="12">
        <v>39083</v>
      </c>
    </row>
    <row r="6" spans="2:35" ht="26.25" thickTop="1">
      <c r="B6" s="99" t="s">
        <v>1</v>
      </c>
      <c r="C6" s="112">
        <f>IF(Req2!C66=0,"",Req0!C66/Req2!C66)</f>
      </c>
      <c r="D6" s="112">
        <f>IF(Req2!D66=0,"",Req0!D66/Req2!D66)</f>
      </c>
      <c r="E6" s="112">
        <f>IF(Req2!E66=0,"",Req0!E66/Req2!E66)</f>
      </c>
      <c r="F6" s="112">
        <f>IF(Req2!F66=0,"",Req0!F66/Req2!F66)</f>
      </c>
      <c r="G6" s="112">
        <f>IF(Req2!G66=0,"",Req0!G66/Req2!G66)</f>
      </c>
      <c r="H6" s="112">
        <f>IF(Req2!H66=0,"",Req0!H66/Req2!H66)</f>
      </c>
      <c r="I6" s="112">
        <f>IF(Req2!I66=0,"",Req0!I66/Req2!I66)</f>
      </c>
      <c r="J6" s="112">
        <f>IF(Req2!J66=0,"",Req0!J66/Req2!J66)</f>
      </c>
      <c r="K6" s="112">
        <f>IF(Req2!K66=0,"",Req0!K66/Req2!K66)</f>
      </c>
      <c r="L6" s="112">
        <f>IF(Req2!L66=0,"",Req0!L66/Req2!L66)</f>
      </c>
      <c r="M6" s="112">
        <f>IF(Req2!M66=0,"",Req0!M66/Req2!M66)</f>
      </c>
      <c r="N6" s="112">
        <f>IF(Req2!N66=0,"",Req0!N66/Req2!N66)</f>
      </c>
      <c r="O6" s="112">
        <f>IF(Req2!O66=0,"",Req0!O66/Req2!O66)</f>
      </c>
      <c r="P6" s="112">
        <f>IF(Req2!P66=0,"",Req0!P66/Req2!P66)</f>
      </c>
      <c r="Q6" s="112">
        <f>IF(Req2!Q66=0,"",Req0!Q66/Req2!Q66)</f>
      </c>
      <c r="R6" s="112">
        <f>IF(Req2!R66=0,"",Req0!R66/Req2!R66)</f>
      </c>
      <c r="S6" s="112">
        <f>IF(Req2!S66=0,"",Req0!S66/Req2!S66)</f>
      </c>
      <c r="T6" s="112">
        <f>IF(Req2!T66=0,"",Req0!T66/Req2!T66)</f>
      </c>
      <c r="U6" s="112">
        <f>IF(Req2!U66=0,"",Req0!U66/Req2!U66)</f>
      </c>
      <c r="V6" s="112">
        <f>IF(Req2!V66=0,"",Req0!V66/Req2!V66)</f>
        <v>24.426</v>
      </c>
      <c r="W6" s="112">
        <f>IF(Req2!W66=0,"",Req0!W66/Req2!W66)</f>
        <v>15.0075</v>
      </c>
      <c r="X6" s="112">
        <f>IF(Req2!X66=0,"",Req0!X66/Req2!X66)</f>
        <v>83.214</v>
      </c>
      <c r="Y6" s="112">
        <f>IF(Req2!Y66=0,"",Req0!Y66/Req2!Y66)</f>
        <v>32.5404</v>
      </c>
      <c r="Z6" s="112">
        <f>IF(Req2!Z66=0,"",Req0!Z66/Req2!Z66)</f>
        <v>23.184</v>
      </c>
      <c r="AA6" s="112">
        <f>IF(Req2!AA66=0,"",Req0!AA66/Req2!AA66)</f>
        <v>36.363</v>
      </c>
      <c r="AB6" s="112">
        <f>IF(Req2!AB66=0,"",Req0!AB66/Req2!AB66)</f>
        <v>38.985</v>
      </c>
      <c r="AC6" s="112">
        <f>IF(Req2!AC66=0,"",Req0!AC66/Req2!AC66)</f>
        <v>36.550285714285714</v>
      </c>
      <c r="AD6" s="112">
        <f>IF(Req2!AD66=0,"",Req0!AD66/Req2!AD66)</f>
        <v>29.072000000000003</v>
      </c>
      <c r="AE6" s="112">
        <f>IF(Req2!AE66=0,"",Req0!AE66/Req2!AE66)</f>
        <v>35.7075</v>
      </c>
      <c r="AF6" s="112">
        <f>IF(Req2!AF66=0,"",Req0!AF66/Req2!AF66)</f>
        <v>34.6725</v>
      </c>
      <c r="AG6" s="112">
        <f>IF(Req2!AG66=0,"",Req0!AG66/Req2!AG66)</f>
        <v>44.24625</v>
      </c>
      <c r="AH6" s="112">
        <f>IF(Req2!AH66=0,"",Req0!AH66/Req2!AH66)</f>
        <v>24.977999999999998</v>
      </c>
      <c r="AI6" s="112">
        <f>IF(Req2!AI66=0,"",Req0!AI66/Req2!AI66)</f>
        <v>33.879</v>
      </c>
    </row>
    <row r="7" spans="2:35" ht="25.5">
      <c r="B7" s="101" t="s">
        <v>2</v>
      </c>
      <c r="C7" s="112">
        <f>IF(Req2!C67=0,"",Req0!C67/Req2!C67)</f>
        <v>63.54745038167939</v>
      </c>
      <c r="D7" s="112">
        <f>IF(Req2!D67=0,"",Req0!D67/Req2!D67)</f>
        <v>72.99629881154499</v>
      </c>
      <c r="E7" s="112">
        <f>IF(Req2!E67=0,"",Req0!E67/Req2!E67)</f>
        <v>68.76938656987296</v>
      </c>
      <c r="F7" s="112">
        <f>IF(Req2!F67=0,"",Req0!F67/Req2!F67)</f>
        <v>69.74330158730159</v>
      </c>
      <c r="G7" s="112">
        <f>IF(Req2!G67=0,"",Req0!G67/Req2!G67)</f>
        <v>70.76500751879699</v>
      </c>
      <c r="H7" s="112">
        <f>IF(Req2!H67=0,"",Req0!H67/Req2!H67)</f>
        <v>69.89756007393716</v>
      </c>
      <c r="I7" s="112">
        <f>IF(Req2!I67=0,"",Req0!I67/Req2!I67)</f>
        <v>71.30269328493648</v>
      </c>
      <c r="J7" s="112">
        <f>IF(Req2!J67=0,"",Req0!J67/Req2!J67)</f>
        <v>73.73634750462108</v>
      </c>
      <c r="K7" s="112">
        <f>IF(Req2!K67=0,"",Req0!K67/Req2!K67)</f>
        <v>73.05770097087378</v>
      </c>
      <c r="L7" s="112">
        <f>IF(Req2!L67=0,"",Req0!L67/Req2!L67)</f>
        <v>68.64436947791165</v>
      </c>
      <c r="M7" s="112">
        <f>IF(Req2!M67=0,"",Req0!M67/Req2!M67)</f>
        <v>74.06442258652095</v>
      </c>
      <c r="N7" s="112">
        <f>IF(Req2!N67=0,"",Req0!N67/Req2!N67)</f>
        <v>69.5536923076923</v>
      </c>
      <c r="O7" s="112">
        <f>IF(Req2!O67=0,"",Req0!O67/Req2!O67)</f>
        <v>67.92326423487545</v>
      </c>
      <c r="P7" s="112">
        <f>IF(Req2!P67=0,"",Req0!P67/Req2!P67)</f>
        <v>60.259677361853825</v>
      </c>
      <c r="Q7" s="112">
        <f>IF(Req2!Q67=0,"",Req0!Q67/Req2!Q67)</f>
        <v>56.41259736842105</v>
      </c>
      <c r="R7" s="112">
        <f>IF(Req2!R67=0,"",Req0!R67/Req2!R67)</f>
        <v>57.69556219312602</v>
      </c>
      <c r="S7" s="112">
        <f>IF(Req2!S67=0,"",Req0!S67/Req2!S67)</f>
        <v>57.437009243697474</v>
      </c>
      <c r="T7" s="112">
        <f>IF(Req2!T67=0,"",Req0!T67/Req2!T67)</f>
        <v>58.30443695271454</v>
      </c>
      <c r="U7" s="112">
        <f>IF(Req2!U67=0,"",Req0!U67/Req2!U67)</f>
        <v>55.87302448657188</v>
      </c>
      <c r="V7" s="112">
        <f>IF(Req2!V67=0,"",Req0!V67/Req2!V67)</f>
        <v>54.98320015337423</v>
      </c>
      <c r="W7" s="112">
        <f>IF(Req2!W67=0,"",Req0!W67/Req2!W67)</f>
        <v>54.68502146263911</v>
      </c>
      <c r="X7" s="112">
        <f>IF(Req2!X67=0,"",Req0!X67/Req2!X67)</f>
        <v>52.72923611111111</v>
      </c>
      <c r="Y7" s="112">
        <f>IF(Req2!Y67=0,"",Req0!Y67/Req2!Y67)</f>
        <v>56.09551477449455</v>
      </c>
      <c r="Z7" s="112">
        <f>IF(Req2!Z67=0,"",Req0!Z67/Req2!Z67)</f>
        <v>54.05937371134021</v>
      </c>
      <c r="AA7" s="112">
        <f>IF(Req2!AA67=0,"",Req0!AA67/Req2!AA67)</f>
        <v>54.08414285714286</v>
      </c>
      <c r="AB7" s="112">
        <f>IF(Req2!AB67=0,"",Req0!AB67/Req2!AB67)</f>
        <v>53.89934239130435</v>
      </c>
      <c r="AC7" s="112">
        <f>IF(Req2!AC67=0,"",Req0!AC67/Req2!AC67)</f>
        <v>53.38413074484944</v>
      </c>
      <c r="AD7" s="112">
        <f>IF(Req2!AD67=0,"",Req0!AD67/Req2!AD67)</f>
        <v>55.21743910256411</v>
      </c>
      <c r="AE7" s="112">
        <f>IF(Req2!AE67=0,"",Req0!AE67/Req2!AE67)</f>
        <v>54.71670049099837</v>
      </c>
      <c r="AF7" s="112">
        <f>IF(Req2!AF67=0,"",Req0!AF67/Req2!AF67)</f>
        <v>57.56871587301587</v>
      </c>
      <c r="AG7" s="112">
        <f>IF(Req2!AG67=0,"",Req0!AG67/Req2!AG67)</f>
        <v>55.07226129032259</v>
      </c>
      <c r="AH7" s="112">
        <f>IF(Req2!AH67=0,"",Req0!AH67/Req2!AH67)</f>
        <v>53.998140422077924</v>
      </c>
      <c r="AI7" s="112">
        <f>IF(Req2!AI67=0,"",Req0!AI67/Req2!AI67)</f>
        <v>57.881211567732116</v>
      </c>
    </row>
    <row r="8" spans="2:35" ht="25.5">
      <c r="B8" s="101" t="s">
        <v>3</v>
      </c>
      <c r="C8" s="112">
        <f>IF(Req2!C68=0,"",Req0!C68/Req2!C68)</f>
        <v>176.06259999999997</v>
      </c>
      <c r="D8" s="112">
        <f>IF(Req2!D68=0,"",Req0!D68/Req2!D68)</f>
        <v>177.50212878787877</v>
      </c>
      <c r="E8" s="112">
        <f>IF(Req2!E68=0,"",Req0!E68/Req2!E68)</f>
        <v>153.01381159420288</v>
      </c>
      <c r="F8" s="112">
        <f>IF(Req2!F68=0,"",Req0!F68/Req2!F68)</f>
        <v>163.862671875</v>
      </c>
      <c r="G8" s="112">
        <f>IF(Req2!G68=0,"",Req0!G68/Req2!G68)</f>
        <v>149.5949090909091</v>
      </c>
      <c r="H8" s="112">
        <f>IF(Req2!H68=0,"",Req0!H68/Req2!H68)</f>
        <v>148.14765</v>
      </c>
      <c r="I8" s="112">
        <f>IF(Req2!I68=0,"",Req0!I68/Req2!I68)</f>
        <v>153.79736842105262</v>
      </c>
      <c r="J8" s="112">
        <f>IF(Req2!J68=0,"",Req0!J68/Req2!J68)</f>
        <v>153.95625</v>
      </c>
      <c r="K8" s="112">
        <f>IF(Req2!K68=0,"",Req0!K68/Req2!K68)</f>
        <v>155.65913461538463</v>
      </c>
      <c r="L8" s="112">
        <f>IF(Req2!L68=0,"",Req0!L68/Req2!L68)</f>
        <v>152.42039473684213</v>
      </c>
      <c r="M8" s="112">
        <f>IF(Req2!M68=0,"",Req0!M68/Req2!M68)</f>
        <v>149.91968390804598</v>
      </c>
      <c r="N8" s="112">
        <f>IF(Req2!N68=0,"",Req0!N68/Req2!N68)</f>
        <v>146.8422965116279</v>
      </c>
      <c r="O8" s="112">
        <f>IF(Req2!O68=0,"",Req0!O68/Req2!O68)</f>
        <v>139.16922043010752</v>
      </c>
      <c r="P8" s="112">
        <f>IF(Req2!P68=0,"",Req0!P68/Req2!P68)</f>
        <v>134.88597222222222</v>
      </c>
      <c r="Q8" s="112">
        <f>IF(Req2!Q68=0,"",Req0!Q68/Req2!Q68)</f>
        <v>122.68220108695652</v>
      </c>
      <c r="R8" s="112">
        <f>IF(Req2!R68=0,"",Req0!R68/Req2!R68)</f>
        <v>133.66306179775282</v>
      </c>
      <c r="S8" s="112">
        <f>IF(Req2!S68=0,"",Req0!S68/Req2!S68)</f>
        <v>120.7721052631579</v>
      </c>
      <c r="T8" s="112">
        <f>IF(Req2!T68=0,"",Req0!T68/Req2!T68)</f>
        <v>116.752875</v>
      </c>
      <c r="U8" s="112">
        <f>IF(Req2!U68=0,"",Req0!U68/Req2!U68)</f>
        <v>123.34522058823529</v>
      </c>
      <c r="V8" s="112">
        <f>IF(Req2!V68=0,"",Req0!V68/Req2!V68)</f>
        <v>127.82026699029126</v>
      </c>
      <c r="W8" s="112">
        <f>IF(Req2!W68=0,"",Req0!W68/Req2!W68)</f>
        <v>127.96144736842105</v>
      </c>
      <c r="X8" s="112">
        <f>IF(Req2!X68=0,"",Req0!X68/Req2!X68)</f>
        <v>121.75288461538463</v>
      </c>
      <c r="Y8" s="112">
        <f>IF(Req2!Y68=0,"",Req0!Y68/Req2!Y68)</f>
        <v>122.73543814432989</v>
      </c>
      <c r="Z8" s="112">
        <f>IF(Req2!Z68=0,"",Req0!Z68/Req2!Z68)</f>
        <v>110.65956632653062</v>
      </c>
      <c r="AA8" s="112">
        <f>IF(Req2!AA68=0,"",Req0!AA68/Req2!AA68)</f>
        <v>122.99554455445544</v>
      </c>
      <c r="AB8" s="112">
        <f>IF(Req2!AB68=0,"",Req0!AB68/Req2!AB68)</f>
        <v>120.66497395833333</v>
      </c>
      <c r="AC8" s="112">
        <f>IF(Req2!AC68=0,"",Req0!AC68/Req2!AC68)</f>
        <v>114.68541666666665</v>
      </c>
      <c r="AD8" s="112">
        <f>IF(Req2!AD68=0,"",Req0!AD68/Req2!AD68)</f>
        <v>122.45315789473683</v>
      </c>
      <c r="AE8" s="112">
        <f>IF(Req2!AE68=0,"",Req0!AE68/Req2!AE68)</f>
        <v>112.68405612244898</v>
      </c>
      <c r="AF8" s="112">
        <f>IF(Req2!AF68=0,"",Req0!AF68/Req2!AF68)</f>
        <v>119.24350961538462</v>
      </c>
      <c r="AG8" s="112">
        <f>IF(Req2!AG68=0,"",Req0!AG68/Req2!AG68)</f>
        <v>123.35672043010752</v>
      </c>
      <c r="AH8" s="112">
        <f>IF(Req2!AH68=0,"",Req0!AH68/Req2!AH68)</f>
        <v>106.58992718446602</v>
      </c>
      <c r="AI8" s="112">
        <f>IF(Req2!AI68=0,"",Req0!AI68/Req2!AI68)</f>
        <v>107.22408256880733</v>
      </c>
    </row>
    <row r="9" spans="2:35" ht="25.5">
      <c r="B9" s="101" t="s">
        <v>74</v>
      </c>
      <c r="C9" s="112">
        <f>IF(Req2!C69=0,"",Req0!C69/Req2!C69)</f>
      </c>
      <c r="D9" s="112">
        <f>IF(Req2!D69=0,"",Req0!D69/Req2!D69)</f>
      </c>
      <c r="E9" s="112">
        <f>IF(Req2!E69=0,"",Req0!E69/Req2!E69)</f>
      </c>
      <c r="F9" s="112">
        <f>IF(Req2!F69=0,"",Req0!F69/Req2!F69)</f>
      </c>
      <c r="G9" s="112">
        <f>IF(Req2!G69=0,"",Req0!G69/Req2!G69)</f>
      </c>
      <c r="H9" s="112">
        <f>IF(Req2!H69=0,"",Req0!H69/Req2!H69)</f>
      </c>
      <c r="I9" s="112">
        <f>IF(Req2!I69=0,"",Req0!I69/Req2!I69)</f>
      </c>
      <c r="J9" s="112">
        <f>IF(Req2!J69=0,"",Req0!J69/Req2!J69)</f>
      </c>
      <c r="K9" s="112">
        <f>IF(Req2!K69=0,"",Req0!K69/Req2!K69)</f>
      </c>
      <c r="L9" s="112">
        <f>IF(Req2!L69=0,"",Req0!L69/Req2!L69)</f>
      </c>
      <c r="M9" s="112">
        <f>IF(Req2!M69=0,"",Req0!M69/Req2!M69)</f>
      </c>
      <c r="N9" s="112">
        <f>IF(Req2!N69=0,"",Req0!N69/Req2!N69)</f>
      </c>
      <c r="O9" s="112">
        <f>IF(Req2!O69=0,"",Req0!O69/Req2!O69)</f>
      </c>
      <c r="P9" s="112">
        <f>IF(Req2!P69=0,"",Req0!P69/Req2!P69)</f>
      </c>
      <c r="Q9" s="112">
        <f>IF(Req2!Q69=0,"",Req0!Q69/Req2!Q69)</f>
      </c>
      <c r="R9" s="112">
        <f>IF(Req2!R69=0,"",Req0!R69/Req2!R69)</f>
      </c>
      <c r="S9" s="112">
        <f>IF(Req2!S69=0,"",Req0!S69/Req2!S69)</f>
      </c>
      <c r="T9" s="112">
        <f>IF(Req2!T69=0,"",Req0!T69/Req2!T69)</f>
      </c>
      <c r="U9" s="112">
        <f>IF(Req2!U69=0,"",Req0!U69/Req2!U69)</f>
      </c>
      <c r="V9" s="112">
        <f>IF(Req2!V69=0,"",Req0!V69/Req2!V69)</f>
      </c>
      <c r="W9" s="112">
        <f>IF(Req2!W69=0,"",Req0!W69/Req2!W69)</f>
      </c>
      <c r="X9" s="112">
        <f>IF(Req2!X69=0,"",Req0!X69/Req2!X69)</f>
      </c>
      <c r="Y9" s="112">
        <f>IF(Req2!Y69=0,"",Req0!Y69/Req2!Y69)</f>
      </c>
      <c r="Z9" s="112">
        <f>IF(Req2!Z69=0,"",Req0!Z69/Req2!Z69)</f>
      </c>
      <c r="AA9" s="112">
        <f>IF(Req2!AA69=0,"",Req0!AA69/Req2!AA69)</f>
      </c>
      <c r="AB9" s="112">
        <f>IF(Req2!AB69=0,"",Req0!AB69/Req2!AB69)</f>
      </c>
      <c r="AC9" s="112">
        <f>IF(Req2!AC69=0,"",Req0!AC69/Req2!AC69)</f>
      </c>
      <c r="AD9" s="112">
        <f>IF(Req2!AD69=0,"",Req0!AD69/Req2!AD69)</f>
      </c>
      <c r="AE9" s="112">
        <f>IF(Req2!AE69=0,"",Req0!AE69/Req2!AE69)</f>
      </c>
      <c r="AF9" s="112">
        <f>IF(Req2!AF69=0,"",Req0!AF69/Req2!AF69)</f>
        <v>51.9125</v>
      </c>
      <c r="AG9" s="112">
        <f>IF(Req2!AG69=0,"",Req0!AG69/Req2!AG69)</f>
      </c>
      <c r="AH9" s="112">
        <f>IF(Req2!AH69=0,"",Req0!AH69/Req2!AH69)</f>
      </c>
      <c r="AI9" s="112">
        <f>IF(Req2!AI69=0,"",Req0!AI69/Req2!AI69)</f>
        <v>232.757</v>
      </c>
    </row>
    <row r="10" spans="2:35" ht="25.5">
      <c r="B10" s="101" t="s">
        <v>4</v>
      </c>
      <c r="C10" s="112">
        <f>IF(Req2!C70=0,"",Req0!C70/Req2!C70)</f>
        <v>61.68045084745763</v>
      </c>
      <c r="D10" s="112">
        <f>IF(Req2!D70=0,"",Req0!D70/Req2!D70)</f>
        <v>68.20191887755102</v>
      </c>
      <c r="E10" s="112">
        <f>IF(Req2!E70=0,"",Req0!E70/Req2!E70)</f>
        <v>63.7584484375</v>
      </c>
      <c r="F10" s="112">
        <f>IF(Req2!F70=0,"",Req0!F70/Req2!F70)</f>
        <v>65.30082068607068</v>
      </c>
      <c r="G10" s="112">
        <f>IF(Req2!G70=0,"",Req0!G70/Req2!G70)</f>
        <v>67.54295307443365</v>
      </c>
      <c r="H10" s="112">
        <f>IF(Req2!H70=0,"",Req0!H70/Req2!H70)</f>
        <v>66.79532753164557</v>
      </c>
      <c r="I10" s="112">
        <f>IF(Req2!I70=0,"",Req0!I70/Req2!I70)</f>
        <v>65.55213149847096</v>
      </c>
      <c r="J10" s="112">
        <f>IF(Req2!J70=0,"",Req0!J70/Req2!J70)</f>
        <v>65.94783618090452</v>
      </c>
      <c r="K10" s="112">
        <f>IF(Req2!K70=0,"",Req0!K70/Req2!K70)</f>
        <v>66.15089336016096</v>
      </c>
      <c r="L10" s="112">
        <f>IF(Req2!L70=0,"",Req0!L70/Req2!L70)</f>
        <v>65.72885383747177</v>
      </c>
      <c r="M10" s="112">
        <f>IF(Req2!M70=0,"",Req0!M70/Req2!M70)</f>
        <v>70.09295575221238</v>
      </c>
      <c r="N10" s="112">
        <f>IF(Req2!N70=0,"",Req0!N70/Req2!N70)</f>
        <v>69.46949209694415</v>
      </c>
      <c r="O10" s="112">
        <f>IF(Req2!O70=0,"",Req0!O70/Req2!O70)</f>
        <v>71.0383234375</v>
      </c>
      <c r="P10" s="112">
        <f>IF(Req2!P70=0,"",Req0!P70/Req2!P70)</f>
        <v>68.84615010570825</v>
      </c>
      <c r="Q10" s="112">
        <f>IF(Req2!Q70=0,"",Req0!Q70/Req2!Q70)</f>
        <v>67.86088839779005</v>
      </c>
      <c r="R10" s="112">
        <f>IF(Req2!R70=0,"",Req0!R70/Req2!R70)</f>
        <v>72.65354413407822</v>
      </c>
      <c r="S10" s="112">
        <f>IF(Req2!S70=0,"",Req0!S70/Req2!S70)</f>
        <v>72.76760419026049</v>
      </c>
      <c r="T10" s="112">
        <f>IF(Req2!T70=0,"",Req0!T70/Req2!T70)</f>
        <v>71.2361149825784</v>
      </c>
      <c r="U10" s="112">
        <f>IF(Req2!U70=0,"",Req0!U70/Req2!U70)</f>
        <v>72.43925</v>
      </c>
      <c r="V10" s="112">
        <f>IF(Req2!V70=0,"",Req0!V70/Req2!V70)</f>
        <v>72.49395652173912</v>
      </c>
      <c r="W10" s="112">
        <f>IF(Req2!W70=0,"",Req0!W70/Req2!W70)</f>
        <v>71.08518792710706</v>
      </c>
      <c r="X10" s="112">
        <f>IF(Req2!X70=0,"",Req0!X70/Req2!X70)</f>
        <v>70.10376584507041</v>
      </c>
      <c r="Y10" s="112">
        <f>IF(Req2!Y70=0,"",Req0!Y70/Req2!Y70)</f>
        <v>73.65787329545455</v>
      </c>
      <c r="Z10" s="112">
        <f>IF(Req2!Z70=0,"",Req0!Z70/Req2!Z70)</f>
        <v>70.62695760598504</v>
      </c>
      <c r="AA10" s="112">
        <f>IF(Req2!AA70=0,"",Req0!AA70/Req2!AA70)</f>
        <v>74.2816875</v>
      </c>
      <c r="AB10" s="112">
        <f>IF(Req2!AB70=0,"",Req0!AB70/Req2!AB70)</f>
        <v>76.06081403940887</v>
      </c>
      <c r="AC10" s="112">
        <f>IF(Req2!AC70=0,"",Req0!AC70/Req2!AC70)</f>
        <v>71.94686243386244</v>
      </c>
      <c r="AD10" s="112">
        <f>IF(Req2!AD70=0,"",Req0!AD70/Req2!AD70)</f>
        <v>63.9678830548926</v>
      </c>
      <c r="AE10" s="112">
        <f>IF(Req2!AE70=0,"",Req0!AE70/Req2!AE70)</f>
        <v>61.7164528809219</v>
      </c>
      <c r="AF10" s="112">
        <f>IF(Req2!AF70=0,"",Req0!AF70/Req2!AF70)</f>
        <v>60.75197369668247</v>
      </c>
      <c r="AG10" s="112">
        <f>IF(Req2!AG70=0,"",Req0!AG70/Req2!AG70)</f>
        <v>58.18106180048662</v>
      </c>
      <c r="AH10" s="112">
        <f>IF(Req2!AH70=0,"",Req0!AH70/Req2!AH70)</f>
        <v>57.296443132220794</v>
      </c>
      <c r="AI10" s="112">
        <f>IF(Req2!AI70=0,"",Req0!AI70/Req2!AI70)</f>
        <v>57.14830732807216</v>
      </c>
    </row>
    <row r="11" spans="2:35" ht="25.5">
      <c r="B11" s="101" t="s">
        <v>5</v>
      </c>
      <c r="C11" s="112">
        <f>IF(Req2!C71=0,"",Req0!C71/Req2!C71)</f>
        <v>133.05509589041097</v>
      </c>
      <c r="D11" s="112">
        <f>IF(Req2!D71=0,"",Req0!D71/Req2!D71)</f>
        <v>143.45854191616766</v>
      </c>
      <c r="E11" s="112">
        <f>IF(Req2!E71=0,"",Req0!E71/Req2!E71)</f>
        <v>125.6863787878788</v>
      </c>
      <c r="F11" s="112">
        <f>IF(Req2!F71=0,"",Req0!F71/Req2!F71)</f>
        <v>133.69734218289085</v>
      </c>
      <c r="G11" s="112">
        <f>IF(Req2!G71=0,"",Req0!G71/Req2!G71)</f>
        <v>135.7575221238938</v>
      </c>
      <c r="H11" s="112">
        <f>IF(Req2!H71=0,"",Req0!H71/Req2!H71)</f>
        <v>130.59979295774647</v>
      </c>
      <c r="I11" s="112">
        <f>IF(Req2!I71=0,"",Req0!I71/Req2!I71)</f>
        <v>126.47359149484535</v>
      </c>
      <c r="J11" s="112">
        <f>IF(Req2!J71=0,"",Req0!J71/Req2!J71)</f>
        <v>134.64740666666665</v>
      </c>
      <c r="K11" s="112">
        <f>IF(Req2!K71=0,"",Req0!K71/Req2!K71)</f>
        <v>141.5173275362319</v>
      </c>
      <c r="L11" s="112">
        <f>IF(Req2!L71=0,"",Req0!L71/Req2!L71)</f>
        <v>138.23895327102804</v>
      </c>
      <c r="M11" s="112">
        <f>IF(Req2!M71=0,"",Req0!M71/Req2!M71)</f>
        <v>144.71720080862534</v>
      </c>
      <c r="N11" s="112">
        <f>IF(Req2!N71=0,"",Req0!N71/Req2!N71)</f>
        <v>138.6600391891892</v>
      </c>
      <c r="O11" s="112">
        <f>IF(Req2!O71=0,"",Req0!O71/Req2!O71)</f>
        <v>139.06265374677002</v>
      </c>
      <c r="P11" s="112">
        <f>IF(Req2!P71=0,"",Req0!P71/Req2!P71)</f>
        <v>135.22409160305344</v>
      </c>
      <c r="Q11" s="112">
        <f>IF(Req2!Q71=0,"",Req0!Q71/Req2!Q71)</f>
        <v>136.11735180055402</v>
      </c>
      <c r="R11" s="112">
        <f>IF(Req2!R71=0,"",Req0!R71/Req2!R71)</f>
        <v>142.5176945169713</v>
      </c>
      <c r="S11" s="112">
        <f>IF(Req2!S71=0,"",Req0!S71/Req2!S71)</f>
        <v>149.340328125</v>
      </c>
      <c r="T11" s="112">
        <f>IF(Req2!T71=0,"",Req0!T71/Req2!T71)</f>
        <v>144.317015625</v>
      </c>
      <c r="U11" s="112">
        <f>IF(Req2!U71=0,"",Req0!U71/Req2!U71)</f>
        <v>141.78598648648648</v>
      </c>
      <c r="V11" s="112">
        <f>IF(Req2!V71=0,"",Req0!V71/Req2!V71)</f>
        <v>143.57678260869565</v>
      </c>
      <c r="W11" s="112">
        <f>IF(Req2!W71=0,"",Req0!W71/Req2!W71)</f>
        <v>147.4942678062678</v>
      </c>
      <c r="X11" s="112">
        <f>IF(Req2!X71=0,"",Req0!X71/Req2!X71)</f>
        <v>140.54324193548388</v>
      </c>
      <c r="Y11" s="112">
        <f>IF(Req2!Y71=0,"",Req0!Y71/Req2!Y71)</f>
        <v>148.00071708683473</v>
      </c>
      <c r="Z11" s="112">
        <f>IF(Req2!Z71=0,"",Req0!Z71/Req2!Z71)</f>
        <v>152.58024999999998</v>
      </c>
      <c r="AA11" s="112">
        <f>IF(Req2!AA71=0,"",Req0!AA71/Req2!AA71)</f>
        <v>148.61766944444443</v>
      </c>
      <c r="AB11" s="112">
        <f>IF(Req2!AB71=0,"",Req0!AB71/Req2!AB71)</f>
        <v>155.62099115044248</v>
      </c>
      <c r="AC11" s="112">
        <f>IF(Req2!AC71=0,"",Req0!AC71/Req2!AC71)</f>
        <v>129.1178295774648</v>
      </c>
      <c r="AD11" s="112">
        <f>IF(Req2!AD71=0,"",Req0!AD71/Req2!AD71)</f>
        <v>134.800806122449</v>
      </c>
      <c r="AE11" s="112">
        <f>IF(Req2!AE71=0,"",Req0!AE71/Req2!AE71)</f>
        <v>120.73743620178043</v>
      </c>
      <c r="AF11" s="112">
        <f>IF(Req2!AF71=0,"",Req0!AF71/Req2!AF71)</f>
        <v>118.86076345609064</v>
      </c>
      <c r="AG11" s="112">
        <f>IF(Req2!AG71=0,"",Req0!AG71/Req2!AG71)</f>
        <v>113.8845703264095</v>
      </c>
      <c r="AH11" s="112">
        <f>IF(Req2!AH71=0,"",Req0!AH71/Req2!AH71)</f>
        <v>110.4145661585366</v>
      </c>
      <c r="AI11" s="112">
        <f>IF(Req2!AI71=0,"",Req0!AI71/Req2!AI71)</f>
        <v>117.9976544959128</v>
      </c>
    </row>
    <row r="12" spans="2:35" ht="25.5">
      <c r="B12" s="101" t="s">
        <v>53</v>
      </c>
      <c r="C12" s="112">
        <f>IF(Req2!C72=0,"",Req0!C72/Req2!C72)</f>
      </c>
      <c r="D12" s="112">
        <f>IF(Req2!D72=0,"",Req0!D72/Req2!D72)</f>
      </c>
      <c r="E12" s="112">
        <f>IF(Req2!E72=0,"",Req0!E72/Req2!E72)</f>
      </c>
      <c r="F12" s="112">
        <f>IF(Req2!F72=0,"",Req0!F72/Req2!F72)</f>
      </c>
      <c r="G12" s="112">
        <f>IF(Req2!G72=0,"",Req0!G72/Req2!G72)</f>
      </c>
      <c r="H12" s="112">
        <f>IF(Req2!H72=0,"",Req0!H72/Req2!H72)</f>
      </c>
      <c r="I12" s="112">
        <f>IF(Req2!I72=0,"",Req0!I72/Req2!I72)</f>
      </c>
      <c r="J12" s="112">
        <f>IF(Req2!J72=0,"",Req0!J72/Req2!J72)</f>
      </c>
      <c r="K12" s="112">
        <f>IF(Req2!K72=0,"",Req0!K72/Req2!K72)</f>
      </c>
      <c r="L12" s="112">
        <f>IF(Req2!L72=0,"",Req0!L72/Req2!L72)</f>
      </c>
      <c r="M12" s="112">
        <f>IF(Req2!M72=0,"",Req0!M72/Req2!M72)</f>
      </c>
      <c r="N12" s="112">
        <f>IF(Req2!N72=0,"",Req0!N72/Req2!N72)</f>
      </c>
      <c r="O12" s="112">
        <f>IF(Req2!O72=0,"",Req0!O72/Req2!O72)</f>
      </c>
      <c r="P12" s="112">
        <f>IF(Req2!P72=0,"",Req0!P72/Req2!P72)</f>
      </c>
      <c r="Q12" s="112">
        <f>IF(Req2!Q72=0,"",Req0!Q72/Req2!Q72)</f>
      </c>
      <c r="R12" s="112">
        <f>IF(Req2!R72=0,"",Req0!R72/Req2!R72)</f>
      </c>
      <c r="S12" s="112">
        <f>IF(Req2!S72=0,"",Req0!S72/Req2!S72)</f>
      </c>
      <c r="T12" s="112">
        <f>IF(Req2!T72=0,"",Req0!T72/Req2!T72)</f>
      </c>
      <c r="U12" s="112">
        <f>IF(Req2!U72=0,"",Req0!U72/Req2!U72)</f>
      </c>
      <c r="V12" s="112">
        <f>IF(Req2!V72=0,"",Req0!V72/Req2!V72)</f>
      </c>
      <c r="W12" s="112">
        <f>IF(Req2!W72=0,"",Req0!W72/Req2!W72)</f>
      </c>
      <c r="X12" s="112">
        <f>IF(Req2!X72=0,"",Req0!X72/Req2!X72)</f>
      </c>
      <c r="Y12" s="112">
        <f>IF(Req2!Y72=0,"",Req0!Y72/Req2!Y72)</f>
      </c>
      <c r="Z12" s="112">
        <f>IF(Req2!Z72=0,"",Req0!Z72/Req2!Z72)</f>
      </c>
      <c r="AA12" s="112">
        <f>IF(Req2!AA72=0,"",Req0!AA72/Req2!AA72)</f>
      </c>
      <c r="AB12" s="112">
        <f>IF(Req2!AB72=0,"",Req0!AB72/Req2!AB72)</f>
        <v>83.2864</v>
      </c>
      <c r="AC12" s="112">
        <f>IF(Req2!AC72=0,"",Req0!AC72/Req2!AC72)</f>
        <v>92.95357142857142</v>
      </c>
      <c r="AD12" s="112">
        <f>IF(Req2!AD72=0,"",Req0!AD72/Req2!AD72)</f>
        <v>83.82225</v>
      </c>
      <c r="AE12" s="112">
        <f>IF(Req2!AE72=0,"",Req0!AE72/Req2!AE72)</f>
        <v>109.97683333333333</v>
      </c>
      <c r="AF12" s="112">
        <f>IF(Req2!AF72=0,"",Req0!AF72/Req2!AF72)</f>
        <v>103.67932</v>
      </c>
      <c r="AG12" s="112">
        <f>IF(Req2!AG72=0,"",Req0!AG72/Req2!AG72)</f>
        <v>126.85694583333333</v>
      </c>
      <c r="AH12" s="112">
        <f>IF(Req2!AH72=0,"",Req0!AH72/Req2!AH72)</f>
        <v>111.18594999999999</v>
      </c>
      <c r="AI12" s="112">
        <f>IF(Req2!AI72=0,"",Req0!AI72/Req2!AI72)</f>
        <v>113.48679999999999</v>
      </c>
    </row>
    <row r="13" spans="2:35" ht="25.5">
      <c r="B13" s="101" t="s">
        <v>6</v>
      </c>
      <c r="C13" s="112">
        <f>IF(Req2!C73=0,"",Req0!C73/Req2!C73)</f>
        <v>47.14358695652174</v>
      </c>
      <c r="D13" s="112">
        <f>IF(Req2!D73=0,"",Req0!D73/Req2!D73)</f>
        <v>54.519551020408166</v>
      </c>
      <c r="E13" s="112">
        <f>IF(Req2!E73=0,"",Req0!E73/Req2!E73)</f>
        <v>56.28937209302326</v>
      </c>
      <c r="F13" s="112">
        <f>IF(Req2!F73=0,"",Req0!F73/Req2!F73)</f>
        <v>49.90228846153846</v>
      </c>
      <c r="G13" s="112">
        <f>IF(Req2!G73=0,"",Req0!G73/Req2!G73)</f>
        <v>56.27752380952381</v>
      </c>
      <c r="H13" s="112">
        <f>IF(Req2!H73=0,"",Req0!H73/Req2!H73)</f>
        <v>49.6371875</v>
      </c>
      <c r="I13" s="112">
        <f>IF(Req2!I73=0,"",Req0!I73/Req2!I73)</f>
        <v>56.22586363636364</v>
      </c>
      <c r="J13" s="112">
        <f>IF(Req2!J73=0,"",Req0!J73/Req2!J73)</f>
        <v>54.43802083333333</v>
      </c>
      <c r="K13" s="112">
        <f>IF(Req2!K73=0,"",Req0!K73/Req2!K73)</f>
        <v>49.41578260869566</v>
      </c>
      <c r="L13" s="112">
        <f>IF(Req2!L73=0,"",Req0!L73/Req2!L73)</f>
        <v>45.12783333333333</v>
      </c>
      <c r="M13" s="112">
        <f>IF(Req2!M73=0,"",Req0!M73/Req2!M73)</f>
        <v>58.14037777777778</v>
      </c>
      <c r="N13" s="112">
        <f>IF(Req2!N73=0,"",Req0!N73/Req2!N73)</f>
        <v>48.86115217391304</v>
      </c>
      <c r="O13" s="112">
        <f>IF(Req2!O73=0,"",Req0!O73/Req2!O73)</f>
        <v>46.47705454545454</v>
      </c>
      <c r="P13" s="112">
        <f>IF(Req2!P73=0,"",Req0!P73/Req2!P73)</f>
        <v>45.29387719298246</v>
      </c>
      <c r="Q13" s="112">
        <f>IF(Req2!Q73=0,"",Req0!Q73/Req2!Q73)</f>
        <v>58.15866666666667</v>
      </c>
      <c r="R13" s="112">
        <f>IF(Req2!R73=0,"",Req0!R73/Req2!R73)</f>
        <v>42.384499999999996</v>
      </c>
      <c r="S13" s="112">
        <f>IF(Req2!S73=0,"",Req0!S73/Req2!S73)</f>
        <v>47.68741509433962</v>
      </c>
      <c r="T13" s="112">
        <f>IF(Req2!T73=0,"",Req0!T73/Req2!T73)</f>
        <v>47.46494230769231</v>
      </c>
      <c r="U13" s="112">
        <f>IF(Req2!U73=0,"",Req0!U73/Req2!U73)</f>
        <v>51.33260784313726</v>
      </c>
      <c r="V13" s="112">
        <f>IF(Req2!V73=0,"",Req0!V73/Req2!V73)</f>
        <v>46.84462903225807</v>
      </c>
      <c r="W13" s="112">
        <f>IF(Req2!W73=0,"",Req0!W73/Req2!W73)</f>
        <v>44.79652307692307</v>
      </c>
      <c r="X13" s="112">
        <f>IF(Req2!X73=0,"",Req0!X73/Req2!X73)</f>
        <v>42.26981967213114</v>
      </c>
      <c r="Y13" s="112">
        <f>IF(Req2!Y73=0,"",Req0!Y73/Req2!Y73)</f>
        <v>46.46684126984127</v>
      </c>
      <c r="Z13" s="112">
        <f>IF(Req2!Z73=0,"",Req0!Z73/Req2!Z73)</f>
        <v>48.82573469387755</v>
      </c>
      <c r="AA13" s="112">
        <f>IF(Req2!AA73=0,"",Req0!AA73/Req2!AA73)</f>
        <v>45.36629230769231</v>
      </c>
      <c r="AB13" s="112">
        <f>IF(Req2!AB73=0,"",Req0!AB73/Req2!AB73)</f>
        <v>50.27920370370371</v>
      </c>
      <c r="AC13" s="112">
        <f>IF(Req2!AC73=0,"",Req0!AC73/Req2!AC73)</f>
        <v>50.23465384615385</v>
      </c>
      <c r="AD13" s="112">
        <f>IF(Req2!AD73=0,"",Req0!AD73/Req2!AD73)</f>
        <v>46.911</v>
      </c>
      <c r="AE13" s="112">
        <f>IF(Req2!AE73=0,"",Req0!AE73/Req2!AE73)</f>
        <v>43.15491525423729</v>
      </c>
      <c r="AF13" s="112">
        <f>IF(Req2!AF73=0,"",Req0!AF73/Req2!AF73)</f>
        <v>45.64483606557377</v>
      </c>
      <c r="AG13" s="112">
        <f>IF(Req2!AG73=0,"",Req0!AG73/Req2!AG73)</f>
        <v>46.284392857142855</v>
      </c>
      <c r="AH13" s="112">
        <f>IF(Req2!AH73=0,"",Req0!AH73/Req2!AH73)</f>
        <v>49.26420408163265</v>
      </c>
      <c r="AI13" s="112">
        <f>IF(Req2!AI73=0,"",Req0!AI73/Req2!AI73)</f>
        <v>56.6137918367347</v>
      </c>
    </row>
    <row r="14" spans="2:35" ht="25.5">
      <c r="B14" s="101" t="s">
        <v>7</v>
      </c>
      <c r="C14" s="112">
        <f>IF(Req2!C74=0,"",Req0!C74/Req2!C74)</f>
        <v>62.31027522935779</v>
      </c>
      <c r="D14" s="112">
        <f>IF(Req2!D74=0,"",Req0!D74/Req2!D74)</f>
        <v>67.98785593220339</v>
      </c>
      <c r="E14" s="112">
        <f>IF(Req2!E74=0,"",Req0!E74/Req2!E74)</f>
        <v>59.17475609756097</v>
      </c>
      <c r="F14" s="112">
        <f>IF(Req2!F74=0,"",Req0!F74/Req2!F74)</f>
        <v>67.69577830188679</v>
      </c>
      <c r="G14" s="112">
        <f>IF(Req2!G74=0,"",Req0!G74/Req2!G74)</f>
        <v>70.48649999999999</v>
      </c>
      <c r="H14" s="112">
        <f>IF(Req2!H74=0,"",Req0!H74/Req2!H74)</f>
        <v>67.1021590909091</v>
      </c>
      <c r="I14" s="112">
        <f>IF(Req2!I74=0,"",Req0!I74/Req2!I74)</f>
        <v>73.79234722222223</v>
      </c>
      <c r="J14" s="112">
        <f>IF(Req2!J74=0,"",Req0!J74/Req2!J74)</f>
        <v>81.42447115384616</v>
      </c>
      <c r="K14" s="112">
        <f>IF(Req2!K74=0,"",Req0!K74/Req2!K74)</f>
        <v>72.2866875</v>
      </c>
      <c r="L14" s="112">
        <f>IF(Req2!L74=0,"",Req0!L74/Req2!L74)</f>
        <v>69.76676388888889</v>
      </c>
      <c r="M14" s="112">
        <f>IF(Req2!M74=0,"",Req0!M74/Req2!M74)</f>
        <v>83.39566666666667</v>
      </c>
      <c r="N14" s="112">
        <f>IF(Req2!N74=0,"",Req0!N74/Req2!N74)</f>
        <v>65.64127099236642</v>
      </c>
      <c r="O14" s="112">
        <f>IF(Req2!O74=0,"",Req0!O74/Req2!O74)</f>
        <v>87.14237264150944</v>
      </c>
      <c r="P14" s="112">
        <f>IF(Req2!P74=0,"",Req0!P74/Req2!P74)</f>
        <v>75.32155909090909</v>
      </c>
      <c r="Q14" s="112">
        <f>IF(Req2!Q74=0,"",Req0!Q74/Req2!Q74)</f>
        <v>69.69453982300885</v>
      </c>
      <c r="R14" s="112">
        <f>IF(Req2!R74=0,"",Req0!R74/Req2!R74)</f>
        <v>78.50361842105264</v>
      </c>
      <c r="S14" s="112">
        <f>IF(Req2!S74=0,"",Req0!S74/Req2!S74)</f>
        <v>80.55502577319588</v>
      </c>
      <c r="T14" s="112">
        <f>IF(Req2!T74=0,"",Req0!T74/Req2!T74)</f>
        <v>76.24575</v>
      </c>
      <c r="U14" s="112">
        <f>IF(Req2!U74=0,"",Req0!U74/Req2!U74)</f>
        <v>70.59159210526316</v>
      </c>
      <c r="V14" s="112">
        <f>IF(Req2!V74=0,"",Req0!V74/Req2!V74)</f>
        <v>70.74642452830189</v>
      </c>
      <c r="W14" s="112">
        <f>IF(Req2!W74=0,"",Req0!W74/Req2!W74)</f>
        <v>70.07136818181817</v>
      </c>
      <c r="X14" s="112">
        <f>IF(Req2!X74=0,"",Req0!X74/Req2!X74)</f>
        <v>86.3655</v>
      </c>
      <c r="Y14" s="112">
        <f>IF(Req2!Y74=0,"",Req0!Y74/Req2!Y74)</f>
        <v>72.47089903846154</v>
      </c>
      <c r="Z14" s="112">
        <f>IF(Req2!Z74=0,"",Req0!Z74/Req2!Z74)</f>
        <v>73.11630319148937</v>
      </c>
      <c r="AA14" s="112">
        <f>IF(Req2!AA74=0,"",Req0!AA74/Req2!AA74)</f>
        <v>78.97134848484848</v>
      </c>
      <c r="AB14" s="112">
        <f>IF(Req2!AB74=0,"",Req0!AB74/Req2!AB74)</f>
        <v>75.31476804123712</v>
      </c>
      <c r="AC14" s="112">
        <f>IF(Req2!AC74=0,"",Req0!AC74/Req2!AC74)</f>
        <v>69.7116875</v>
      </c>
      <c r="AD14" s="112">
        <f>IF(Req2!AD74=0,"",Req0!AD74/Req2!AD74)</f>
        <v>76.43383695652173</v>
      </c>
      <c r="AE14" s="112">
        <f>IF(Req2!AE74=0,"",Req0!AE74/Req2!AE74)</f>
        <v>72.39524226804123</v>
      </c>
      <c r="AF14" s="112">
        <f>IF(Req2!AF74=0,"",Req0!AF74/Req2!AF74)</f>
        <v>70.68243457943925</v>
      </c>
      <c r="AG14" s="112">
        <f>IF(Req2!AG74=0,"",Req0!AG74/Req2!AG74)</f>
        <v>72.2935306122449</v>
      </c>
      <c r="AH14" s="112">
        <f>IF(Req2!AH74=0,"",Req0!AH74/Req2!AH74)</f>
        <v>74.15707692307693</v>
      </c>
      <c r="AI14" s="112">
        <f>IF(Req2!AI74=0,"",Req0!AI74/Req2!AI74)</f>
        <v>78.60032631578947</v>
      </c>
    </row>
    <row r="15" spans="2:35" ht="25.5">
      <c r="B15" s="101" t="s">
        <v>8</v>
      </c>
      <c r="C15" s="112">
        <f>IF(Req2!C75=0,"",Req0!C75/Req2!C75)</f>
        <v>128.98175</v>
      </c>
      <c r="D15" s="112">
        <f>IF(Req2!D75=0,"",Req0!D75/Req2!D75)</f>
        <v>142.11760869565217</v>
      </c>
      <c r="E15" s="112">
        <f>IF(Req2!E75=0,"",Req0!E75/Req2!E75)</f>
        <v>132.4896923076923</v>
      </c>
      <c r="F15" s="112">
        <f>IF(Req2!F75=0,"",Req0!F75/Req2!F75)</f>
        <v>142.55690476190475</v>
      </c>
      <c r="G15" s="112">
        <f>IF(Req2!G75=0,"",Req0!G75/Req2!G75)</f>
        <v>144.2316923076923</v>
      </c>
      <c r="H15" s="112">
        <f>IF(Req2!H75=0,"",Req0!H75/Req2!H75)</f>
        <v>142.97192307692308</v>
      </c>
      <c r="I15" s="112">
        <f>IF(Req2!I75=0,"",Req0!I75/Req2!I75)</f>
        <v>153.1792741935484</v>
      </c>
      <c r="J15" s="112">
        <f>IF(Req2!J75=0,"",Req0!J75/Req2!J75)</f>
        <v>139.39816901408452</v>
      </c>
      <c r="K15" s="112">
        <f>IF(Req2!K75=0,"",Req0!K75/Req2!K75)</f>
        <v>136.98999999999998</v>
      </c>
      <c r="L15" s="112">
        <f>IF(Req2!L75=0,"",Req0!L75/Req2!L75)</f>
        <v>121.5258904109589</v>
      </c>
      <c r="M15" s="112">
        <f>IF(Req2!M75=0,"",Req0!M75/Req2!M75)</f>
        <v>153.12666666666667</v>
      </c>
      <c r="N15" s="112">
        <f>IF(Req2!N75=0,"",Req0!N75/Req2!N75)</f>
        <v>131.00753424657535</v>
      </c>
      <c r="O15" s="112">
        <f>IF(Req2!O75=0,"",Req0!O75/Req2!O75)</f>
        <v>151.8887323943662</v>
      </c>
      <c r="P15" s="112">
        <f>IF(Req2!P75=0,"",Req0!P75/Req2!P75)</f>
        <v>138.83541666666667</v>
      </c>
      <c r="Q15" s="112">
        <f>IF(Req2!Q75=0,"",Req0!Q75/Req2!Q75)</f>
        <v>146.775</v>
      </c>
      <c r="R15" s="112">
        <f>IF(Req2!R75=0,"",Req0!R75/Req2!R75)</f>
        <v>152.646</v>
      </c>
      <c r="S15" s="112">
        <f>IF(Req2!S75=0,"",Req0!S75/Req2!S75)</f>
        <v>139.49782608695654</v>
      </c>
      <c r="T15" s="112">
        <f>IF(Req2!T75=0,"",Req0!T75/Req2!T75)</f>
        <v>142.05043478260868</v>
      </c>
      <c r="U15" s="112">
        <f>IF(Req2!U75=0,"",Req0!U75/Req2!U75)</f>
        <v>152.19438461538462</v>
      </c>
      <c r="V15" s="112">
        <f>IF(Req2!V75=0,"",Req0!V75/Req2!V75)</f>
        <v>147.00559701492537</v>
      </c>
      <c r="W15" s="112">
        <f>IF(Req2!W75=0,"",Req0!W75/Req2!W75)</f>
        <v>141.70478873239438</v>
      </c>
      <c r="X15" s="112">
        <f>IF(Req2!X75=0,"",Req0!X75/Req2!X75)</f>
        <v>142.94815384615384</v>
      </c>
      <c r="Y15" s="112">
        <f>IF(Req2!Y75=0,"",Req0!Y75/Req2!Y75)</f>
        <v>150.41843283582088</v>
      </c>
      <c r="Z15" s="112">
        <f>IF(Req2!Z75=0,"",Req0!Z75/Req2!Z75)</f>
        <v>163.62424528301887</v>
      </c>
      <c r="AA15" s="112">
        <f>IF(Req2!AA75=0,"",Req0!AA75/Req2!AA75)</f>
        <v>147.68795454545455</v>
      </c>
      <c r="AB15" s="112">
        <f>IF(Req2!AB75=0,"",Req0!AB75/Req2!AB75)</f>
        <v>146.38298507462687</v>
      </c>
      <c r="AC15" s="112">
        <f>IF(Req2!AC75=0,"",Req0!AC75/Req2!AC75)</f>
        <v>149.42725000000002</v>
      </c>
      <c r="AD15" s="112">
        <f>IF(Req2!AD75=0,"",Req0!AD75/Req2!AD75)</f>
        <v>138.4192657142857</v>
      </c>
      <c r="AE15" s="112">
        <f>IF(Req2!AE75=0,"",Req0!AE75/Req2!AE75)</f>
        <v>132.7474625</v>
      </c>
      <c r="AF15" s="112">
        <f>IF(Req2!AF75=0,"",Req0!AF75/Req2!AF75)</f>
        <v>162.83609137931035</v>
      </c>
      <c r="AG15" s="112">
        <f>IF(Req2!AG75=0,"",Req0!AG75/Req2!AG75)</f>
        <v>143.7864095238095</v>
      </c>
      <c r="AH15" s="112">
        <f>IF(Req2!AH75=0,"",Req0!AH75/Req2!AH75)</f>
        <v>158.1226672413793</v>
      </c>
      <c r="AI15" s="112">
        <f>IF(Req2!AI75=0,"",Req0!AI75/Req2!AI75)</f>
        <v>146.34382388059703</v>
      </c>
    </row>
    <row r="16" spans="2:35" ht="12.75">
      <c r="B16" s="101" t="s">
        <v>9</v>
      </c>
      <c r="C16" s="112">
        <f>IF(Req2!C76=0,"",Req0!C76/Req2!C76)</f>
        <v>75.42433712984055</v>
      </c>
      <c r="D16" s="112">
        <f>IF(Req2!D76=0,"",Req0!D76/Req2!D76)</f>
        <v>81.05733595284873</v>
      </c>
      <c r="E16" s="112">
        <f>IF(Req2!E76=0,"",Req0!E76/Req2!E76)</f>
        <v>78.81026915113871</v>
      </c>
      <c r="F16" s="112">
        <f>IF(Req2!F76=0,"",Req0!F76/Req2!F76)</f>
        <v>79.22044915254239</v>
      </c>
      <c r="G16" s="112">
        <f>IF(Req2!G76=0,"",Req0!G76/Req2!G76)</f>
        <v>77.9182094455852</v>
      </c>
      <c r="H16" s="112">
        <f>IF(Req2!H76=0,"",Req0!H76/Req2!H76)</f>
        <v>77.48599589322382</v>
      </c>
      <c r="I16" s="112">
        <f>IF(Req2!I76=0,"",Req0!I76/Req2!I76)</f>
        <v>79.08873009708739</v>
      </c>
      <c r="J16" s="112">
        <f>IF(Req2!J76=0,"",Req0!J76/Req2!J76)</f>
        <v>79.08199613152804</v>
      </c>
      <c r="K16" s="112">
        <f>IF(Req2!K76=0,"",Req0!K76/Req2!K76)</f>
        <v>79.01409302325581</v>
      </c>
      <c r="L16" s="112">
        <f>IF(Req2!L76=0,"",Req0!L76/Req2!L76)</f>
        <v>76.65958483033931</v>
      </c>
      <c r="M16" s="112">
        <f>IF(Req2!M76=0,"",Req0!M76/Req2!M76)</f>
        <v>85.74820262664166</v>
      </c>
      <c r="N16" s="112">
        <f>IF(Req2!N76=0,"",Req0!N76/Req2!N76)</f>
        <v>76.78110218978102</v>
      </c>
      <c r="O16" s="112">
        <f>IF(Req2!O76=0,"",Req0!O76/Req2!O76)</f>
        <v>81.90692335115864</v>
      </c>
      <c r="P16" s="112">
        <f>IF(Req2!P76=0,"",Req0!P76/Req2!P76)</f>
        <v>79.97056088560886</v>
      </c>
      <c r="Q16" s="112">
        <f>IF(Req2!Q76=0,"",Req0!Q76/Req2!Q76)</f>
        <v>80.25403891050584</v>
      </c>
      <c r="R16" s="112">
        <f>IF(Req2!R76=0,"",Req0!R76/Req2!R76)</f>
        <v>86.8682258064516</v>
      </c>
      <c r="S16" s="112">
        <f>IF(Req2!S76=0,"",Req0!S76/Req2!S76)</f>
        <v>84.32319397363466</v>
      </c>
      <c r="T16" s="112">
        <f>IF(Req2!T76=0,"",Req0!T76/Req2!T76)</f>
        <v>83.26033136094674</v>
      </c>
      <c r="U16" s="112">
        <f>IF(Req2!U76=0,"",Req0!U76/Req2!U76)</f>
        <v>83.81694915254238</v>
      </c>
      <c r="V16" s="112">
        <f>IF(Req2!V76=0,"",Req0!V76/Req2!V76)</f>
        <v>88.95900201207245</v>
      </c>
      <c r="W16" s="112">
        <f>IF(Req2!W76=0,"",Req0!W76/Req2!W76)</f>
        <v>84.49790019960079</v>
      </c>
      <c r="X16" s="112">
        <f>IF(Req2!X76=0,"",Req0!X76/Req2!X76)</f>
        <v>84.03597505197504</v>
      </c>
      <c r="Y16" s="112">
        <f>IF(Req2!Y76=0,"",Req0!Y76/Req2!Y76)</f>
        <v>85.16136346516008</v>
      </c>
      <c r="Z16" s="112">
        <f>IF(Req2!Z76=0,"",Req0!Z76/Req2!Z76)</f>
        <v>81.60063559322033</v>
      </c>
      <c r="AA16" s="112">
        <f>IF(Req2!AA76=0,"",Req0!AA76/Req2!AA76)</f>
        <v>83.8294126394052</v>
      </c>
      <c r="AB16" s="112">
        <f>IF(Req2!AB76=0,"",Req0!AB76/Req2!AB76)</f>
        <v>75.82033333333334</v>
      </c>
      <c r="AC16" s="112">
        <f>IF(Req2!AC76=0,"",Req0!AC76/Req2!AC76)</f>
        <v>74.8</v>
      </c>
      <c r="AD16" s="112">
        <f>IF(Req2!AD76=0,"",Req0!AD76/Req2!AD76)</f>
        <v>76.95625047438331</v>
      </c>
      <c r="AE16" s="112">
        <f>IF(Req2!AE76=0,"",Req0!AE76/Req2!AE76)</f>
        <v>73.35085265225933</v>
      </c>
      <c r="AF16" s="112">
        <f>IF(Req2!AF76=0,"",Req0!AF76/Req2!AF76)</f>
        <v>78.14388824662814</v>
      </c>
      <c r="AG16" s="112">
        <f>IF(Req2!AG76=0,"",Req0!AG76/Req2!AG76)</f>
        <v>75.402587</v>
      </c>
      <c r="AH16" s="112">
        <f>IF(Req2!AH76=0,"",Req0!AH76/Req2!AH76)</f>
        <v>61.91005070993914</v>
      </c>
      <c r="AI16" s="112">
        <f>IF(Req2!AI76=0,"",Req0!AI76/Req2!AI76)</f>
        <v>62.20729854809437</v>
      </c>
    </row>
    <row r="17" spans="2:35" ht="12.75">
      <c r="B17" s="101" t="s">
        <v>10</v>
      </c>
      <c r="C17" s="112">
        <f>IF(Req2!C77=0,"",Req0!C77/Req2!C77)</f>
        <v>139.95153797468356</v>
      </c>
      <c r="D17" s="112">
        <f>IF(Req2!D77=0,"",Req0!D77/Req2!D77)</f>
        <v>164.28920186335404</v>
      </c>
      <c r="E17" s="112">
        <f>IF(Req2!E77=0,"",Req0!E77/Req2!E77)</f>
        <v>154.89620860927153</v>
      </c>
      <c r="F17" s="112">
        <f>IF(Req2!F77=0,"",Req0!F77/Req2!F77)</f>
        <v>151.63461176470588</v>
      </c>
      <c r="G17" s="112">
        <f>IF(Req2!G77=0,"",Req0!G77/Req2!G77)</f>
        <v>153.59913218390804</v>
      </c>
      <c r="H17" s="112">
        <f>IF(Req2!H77=0,"",Req0!H77/Req2!H77)</f>
        <v>158.6253363095238</v>
      </c>
      <c r="I17" s="112">
        <f>IF(Req2!I77=0,"",Req0!I77/Req2!I77)</f>
        <v>153.00502234636872</v>
      </c>
      <c r="J17" s="112">
        <f>IF(Req2!J77=0,"",Req0!J77/Req2!J77)</f>
        <v>149.48023134328358</v>
      </c>
      <c r="K17" s="112">
        <f>IF(Req2!K77=0,"",Req0!K77/Req2!K77)</f>
        <v>138.4901896551724</v>
      </c>
      <c r="L17" s="112">
        <f>IF(Req2!L77=0,"",Req0!L77/Req2!L77)</f>
        <v>138.1091176470588</v>
      </c>
      <c r="M17" s="112">
        <f>IF(Req2!M77=0,"",Req0!M77/Req2!M77)</f>
        <v>150.47131862745098</v>
      </c>
      <c r="N17" s="112">
        <f>IF(Req2!N77=0,"",Req0!N77/Req2!N77)</f>
        <v>137.6232</v>
      </c>
      <c r="O17" s="112">
        <f>IF(Req2!O77=0,"",Req0!O77/Req2!O77)</f>
        <v>148.35518472906404</v>
      </c>
      <c r="P17" s="112">
        <f>IF(Req2!P77=0,"",Req0!P77/Req2!P77)</f>
        <v>139.73771076233183</v>
      </c>
      <c r="Q17" s="112">
        <f>IF(Req2!Q77=0,"",Req0!Q77/Req2!Q77)</f>
        <v>140.09766341463416</v>
      </c>
      <c r="R17" s="112">
        <f>IF(Req2!R77=0,"",Req0!R77/Req2!R77)</f>
        <v>144.91371728971964</v>
      </c>
      <c r="S17" s="112">
        <f>IF(Req2!S77=0,"",Req0!S77/Req2!S77)</f>
        <v>139.11697342995168</v>
      </c>
      <c r="T17" s="112">
        <f>IF(Req2!T77=0,"",Req0!T77/Req2!T77)</f>
        <v>150.8939411764706</v>
      </c>
      <c r="U17" s="112">
        <f>IF(Req2!U77=0,"",Req0!U77/Req2!U77)</f>
        <v>148.63698704663213</v>
      </c>
      <c r="V17" s="112">
        <f>IF(Req2!V77=0,"",Req0!V77/Req2!V77)</f>
        <v>155.0363652849741</v>
      </c>
      <c r="W17" s="112">
        <f>IF(Req2!W77=0,"",Req0!W77/Req2!W77)</f>
        <v>133.081875</v>
      </c>
      <c r="X17" s="112">
        <f>IF(Req2!X77=0,"",Req0!X77/Req2!X77)</f>
        <v>151.10687978142076</v>
      </c>
      <c r="Y17" s="112">
        <f>IF(Req2!Y77=0,"",Req0!Y77/Req2!Y77)</f>
        <v>154.5945225</v>
      </c>
      <c r="Z17" s="112">
        <f>IF(Req2!Z77=0,"",Req0!Z77/Req2!Z77)</f>
        <v>150.224625</v>
      </c>
      <c r="AA17" s="112">
        <f>IF(Req2!AA77=0,"",Req0!AA77/Req2!AA77)</f>
        <v>156.9955918367347</v>
      </c>
      <c r="AB17" s="112">
        <f>IF(Req2!AB77=0,"",Req0!AB77/Req2!AB77)</f>
        <v>144.91359574468086</v>
      </c>
      <c r="AC17" s="112">
        <f>IF(Req2!AC77=0,"",Req0!AC77/Req2!AC77)</f>
        <v>139.5208220338983</v>
      </c>
      <c r="AD17" s="112">
        <f>IF(Req2!AD77=0,"",Req0!AD77/Req2!AD77)</f>
        <v>146.77530319148937</v>
      </c>
      <c r="AE17" s="112">
        <f>IF(Req2!AE77=0,"",Req0!AE77/Req2!AE77)</f>
        <v>131.11508375634517</v>
      </c>
      <c r="AF17" s="112">
        <f>IF(Req2!AF77=0,"",Req0!AF77/Req2!AF77)</f>
        <v>138.55075929648243</v>
      </c>
      <c r="AG17" s="112">
        <f>IF(Req2!AG77=0,"",Req0!AG77/Req2!AG77)</f>
        <v>136.3418530612245</v>
      </c>
      <c r="AH17" s="112">
        <f>IF(Req2!AH77=0,"",Req0!AH77/Req2!AH77)</f>
        <v>121.68191776649746</v>
      </c>
      <c r="AI17" s="112">
        <f>IF(Req2!AI77=0,"",Req0!AI77/Req2!AI77)</f>
        <v>129.29421079812207</v>
      </c>
    </row>
    <row r="18" spans="2:35" ht="12.75">
      <c r="B18" s="101" t="s">
        <v>11</v>
      </c>
      <c r="C18" s="112">
        <f>IF(Req2!C78=0,"",Req0!C78/Req2!C78)</f>
        <v>136.46203846153847</v>
      </c>
      <c r="D18" s="112">
        <f>IF(Req2!D78=0,"",Req0!D78/Req2!D78)</f>
        <v>162.12639945652174</v>
      </c>
      <c r="E18" s="112">
        <f>IF(Req2!E78=0,"",Req0!E78/Req2!E78)</f>
        <v>152.41433620689654</v>
      </c>
      <c r="F18" s="112">
        <f>IF(Req2!F78=0,"",Req0!F78/Req2!F78)</f>
        <v>148.91943750000002</v>
      </c>
      <c r="G18" s="112">
        <f>IF(Req2!G78=0,"",Req0!G78/Req2!G78)</f>
        <v>150.8122415730337</v>
      </c>
      <c r="H18" s="112">
        <f>IF(Req2!H78=0,"",Req0!H78/Req2!H78)</f>
        <v>155.7570714285714</v>
      </c>
      <c r="I18" s="112">
        <f>IF(Req2!I78=0,"",Req0!I78/Req2!I78)</f>
        <v>156.1092905027933</v>
      </c>
      <c r="J18" s="112">
        <f>IF(Req2!J78=0,"",Req0!J78/Req2!J78)</f>
        <v>158.17519714285714</v>
      </c>
      <c r="K18" s="112">
        <f>IF(Req2!K78=0,"",Req0!K78/Req2!K78)</f>
        <v>152.4089831460674</v>
      </c>
      <c r="L18" s="112">
        <f>IF(Req2!L78=0,"",Req0!L78/Req2!L78)</f>
        <v>153.90836645962733</v>
      </c>
      <c r="M18" s="112">
        <f>IF(Req2!M78=0,"",Req0!M78/Req2!M78)</f>
        <v>156.913125</v>
      </c>
      <c r="N18" s="112">
        <f>IF(Req2!N78=0,"",Req0!N78/Req2!N78)</f>
        <v>152.35545428571427</v>
      </c>
      <c r="O18" s="112">
        <f>IF(Req2!O78=0,"",Req0!O78/Req2!O78)</f>
        <v>153.64187704918032</v>
      </c>
      <c r="P18" s="112">
        <f>IF(Req2!P78=0,"",Req0!P78/Req2!P78)</f>
        <v>150.48985597826086</v>
      </c>
      <c r="Q18" s="112">
        <f>IF(Req2!Q78=0,"",Req0!Q78/Req2!Q78)</f>
        <v>153.9525</v>
      </c>
      <c r="R18" s="112">
        <f>IF(Req2!R78=0,"",Req0!R78/Req2!R78)</f>
        <v>160.307975</v>
      </c>
      <c r="S18" s="112">
        <f>IF(Req2!S78=0,"",Req0!S78/Req2!S78)</f>
        <v>161.87472413793105</v>
      </c>
      <c r="T18" s="112">
        <f>IF(Req2!T78=0,"",Req0!T78/Req2!T78)</f>
        <v>158.10087869822485</v>
      </c>
      <c r="U18" s="112">
        <f>IF(Req2!U78=0,"",Req0!U78/Req2!U78)</f>
        <v>165.9945926966292</v>
      </c>
      <c r="V18" s="112">
        <f>IF(Req2!V78=0,"",Req0!V78/Req2!V78)</f>
        <v>170.44639156626505</v>
      </c>
      <c r="W18" s="112">
        <f>IF(Req2!W78=0,"",Req0!W78/Req2!W78)</f>
        <v>155.6052445054945</v>
      </c>
      <c r="X18" s="112">
        <f>IF(Req2!X78=0,"",Req0!X78/Req2!X78)</f>
        <v>152.14921022727273</v>
      </c>
      <c r="Y18" s="112">
        <f>IF(Req2!Y78=0,"",Req0!Y78/Req2!Y78)</f>
        <v>167.43680113636364</v>
      </c>
      <c r="Z18" s="112">
        <f>IF(Req2!Z78=0,"",Req0!Z78/Req2!Z78)</f>
        <v>154.4630748502994</v>
      </c>
      <c r="AA18" s="112">
        <f>IF(Req2!AA78=0,"",Req0!AA78/Req2!AA78)</f>
        <v>173.37967630057804</v>
      </c>
      <c r="AB18" s="112">
        <f>IF(Req2!AB78=0,"",Req0!AB78/Req2!AB78)</f>
        <v>148.8176089385475</v>
      </c>
      <c r="AC18" s="112">
        <f>IF(Req2!AC78=0,"",Req0!AC78/Req2!AC78)</f>
        <v>137.86162430939228</v>
      </c>
      <c r="AD18" s="112">
        <f>IF(Req2!AD78=0,"",Req0!AD78/Req2!AD78)</f>
        <v>148.27857777777777</v>
      </c>
      <c r="AE18" s="112">
        <f>IF(Req2!AE78=0,"",Req0!AE78/Req2!AE78)</f>
        <v>149.53670588235295</v>
      </c>
      <c r="AF18" s="112">
        <f>IF(Req2!AF78=0,"",Req0!AF78/Req2!AF78)</f>
        <v>169.0562888888889</v>
      </c>
      <c r="AG18" s="112">
        <f>IF(Req2!AG78=0,"",Req0!AG78/Req2!AG78)</f>
        <v>162.14689741935484</v>
      </c>
      <c r="AH18" s="112">
        <f>IF(Req2!AH78=0,"",Req0!AH78/Req2!AH78)</f>
        <v>141.0001911764706</v>
      </c>
      <c r="AI18" s="112">
        <f>IF(Req2!AI78=0,"",Req0!AI78/Req2!AI78)</f>
        <v>152.9208027027027</v>
      </c>
    </row>
    <row r="19" spans="2:35" ht="12.75">
      <c r="B19" s="101" t="s">
        <v>12</v>
      </c>
      <c r="C19" s="112">
        <f>IF(Req2!C79=0,"",Req0!C79/Req2!C79)</f>
        <v>351.32750000000004</v>
      </c>
      <c r="D19" s="112">
        <f>IF(Req2!D79=0,"",Req0!D79/Req2!D79)</f>
        <v>211.6846875</v>
      </c>
      <c r="E19" s="112">
        <f>IF(Req2!E79=0,"",Req0!E79/Req2!E79)</f>
        <v>198.95399999999998</v>
      </c>
      <c r="F19" s="112">
        <f>IF(Req2!F79=0,"",Req0!F79/Req2!F79)</f>
        <v>190.83342857142858</v>
      </c>
      <c r="G19" s="112">
        <f>IF(Req2!G79=0,"",Req0!G79/Req2!G79)</f>
        <v>160.1106</v>
      </c>
      <c r="H19" s="112">
        <f>IF(Req2!H79=0,"",Req0!H79/Req2!H79)</f>
        <v>196.2894375</v>
      </c>
      <c r="I19" s="112">
        <f>IF(Req2!I79=0,"",Req0!I79/Req2!I79)</f>
        <v>202.50675</v>
      </c>
      <c r="J19" s="112">
        <f>IF(Req2!J79=0,"",Req0!J79/Req2!J79)</f>
        <v>300.7995</v>
      </c>
      <c r="K19" s="112">
        <f>IF(Req2!K79=0,"",Req0!K79/Req2!K79)</f>
        <v>225.71805</v>
      </c>
      <c r="L19" s="112">
        <f>IF(Req2!L79=0,"",Req0!L79/Req2!L79)</f>
        <v>208.21268181818184</v>
      </c>
      <c r="M19" s="112">
        <f>IF(Req2!M79=0,"",Req0!M79/Req2!M79)</f>
        <v>191.059</v>
      </c>
      <c r="N19" s="112">
        <f>IF(Req2!N79=0,"",Req0!N79/Req2!N79)</f>
        <v>174.5723823529412</v>
      </c>
      <c r="O19" s="112">
        <f>IF(Req2!O79=0,"",Req0!O79/Req2!O79)</f>
        <v>164.21599999999998</v>
      </c>
      <c r="P19" s="112">
        <f>IF(Req2!P79=0,"",Req0!P79/Req2!P79)</f>
        <v>237.08685</v>
      </c>
      <c r="Q19" s="112">
        <f>IF(Req2!Q79=0,"",Req0!Q79/Req2!Q79)</f>
        <v>182.19230769230768</v>
      </c>
      <c r="R19" s="112">
        <f>IF(Req2!R79=0,"",Req0!R79/Req2!R79)</f>
        <v>156.0052</v>
      </c>
      <c r="S19" s="112">
        <f>IF(Req2!S79=0,"",Req0!S79/Req2!S79)</f>
        <v>198.22523076923076</v>
      </c>
      <c r="T19" s="112">
        <f>IF(Req2!T79=0,"",Req0!T79/Req2!T79)</f>
        <v>197.01613636363635</v>
      </c>
      <c r="U19" s="112">
        <f>IF(Req2!U79=0,"",Req0!U79/Req2!U79)</f>
        <v>143.689</v>
      </c>
      <c r="V19" s="112">
        <f>IF(Req2!V79=0,"",Req0!V79/Req2!V79)</f>
        <v>207.4806</v>
      </c>
      <c r="W19" s="112">
        <f>IF(Req2!W79=0,"",Req0!W79/Req2!W79)</f>
        <v>273.2656875</v>
      </c>
      <c r="X19" s="112">
        <f>IF(Req2!X79=0,"",Req0!X79/Req2!X79)</f>
        <v>179.2165</v>
      </c>
      <c r="Y19" s="112">
        <f>IF(Req2!Y79=0,"",Req0!Y79/Req2!Y79)</f>
        <v>343.03775</v>
      </c>
      <c r="Z19" s="112">
        <f>IF(Req2!Z79=0,"",Req0!Z79/Req2!Z79)</f>
        <v>172.9005</v>
      </c>
      <c r="AA19" s="112">
        <f>IF(Req2!AA79=0,"",Req0!AA79/Req2!AA79)</f>
        <v>246.5871666666667</v>
      </c>
      <c r="AB19" s="112">
        <f>IF(Req2!AB79=0,"",Req0!AB79/Req2!AB79)</f>
        <v>178.035</v>
      </c>
      <c r="AC19" s="112">
        <f>IF(Req2!AC79=0,"",Req0!AC79/Req2!AC79)</f>
        <v>206.30479999999997</v>
      </c>
      <c r="AD19" s="112">
        <f>IF(Req2!AD79=0,"",Req0!AD79/Req2!AD79)</f>
        <v>200.528</v>
      </c>
      <c r="AE19" s="112">
        <f>IF(Req2!AE79=0,"",Req0!AE79/Req2!AE79)</f>
        <v>185.12557142857142</v>
      </c>
      <c r="AF19" s="112">
        <f>IF(Req2!AF79=0,"",Req0!AF79/Req2!AF79)</f>
        <v>151.2997777777778</v>
      </c>
      <c r="AG19" s="112">
        <f>IF(Req2!AG79=0,"",Req0!AG79/Req2!AG79)</f>
        <v>168.32399999999998</v>
      </c>
      <c r="AH19" s="112">
        <f>IF(Req2!AH79=0,"",Req0!AH79/Req2!AH79)</f>
        <v>174.29023529411765</v>
      </c>
      <c r="AI19" s="112">
        <f>IF(Req2!AI79=0,"",Req0!AI79/Req2!AI79)</f>
        <v>148.74785714285713</v>
      </c>
    </row>
    <row r="20" spans="2:35" ht="25.5">
      <c r="B20" s="101" t="s">
        <v>13</v>
      </c>
      <c r="C20" s="112">
        <f>IF(Req2!C80=0,"",Req0!C80/Req2!C80)</f>
      </c>
      <c r="D20" s="112">
        <f>IF(Req2!D80=0,"",Req0!D80/Req2!D80)</f>
      </c>
      <c r="E20" s="112">
        <f>IF(Req2!E80=0,"",Req0!E80/Req2!E80)</f>
      </c>
      <c r="F20" s="112">
        <f>IF(Req2!F80=0,"",Req0!F80/Req2!F80)</f>
      </c>
      <c r="G20" s="112">
        <f>IF(Req2!G80=0,"",Req0!G80/Req2!G80)</f>
      </c>
      <c r="H20" s="112">
        <f>IF(Req2!H80=0,"",Req0!H80/Req2!H80)</f>
      </c>
      <c r="I20" s="112">
        <f>IF(Req2!I80=0,"",Req0!I80/Req2!I80)</f>
      </c>
      <c r="J20" s="112">
        <f>IF(Req2!J80=0,"",Req0!J80/Req2!J80)</f>
      </c>
      <c r="K20" s="112">
        <f>IF(Req2!K80=0,"",Req0!K80/Req2!K80)</f>
      </c>
      <c r="L20" s="112">
        <f>IF(Req2!L80=0,"",Req0!L80/Req2!L80)</f>
      </c>
      <c r="M20" s="112">
        <f>IF(Req2!M80=0,"",Req0!M80/Req2!M80)</f>
      </c>
      <c r="N20" s="112">
        <f>IF(Req2!N80=0,"",Req0!N80/Req2!N80)</f>
      </c>
      <c r="O20" s="112">
        <f>IF(Req2!O80=0,"",Req0!O80/Req2!O80)</f>
      </c>
      <c r="P20" s="112">
        <f>IF(Req2!P80=0,"",Req0!P80/Req2!P80)</f>
      </c>
      <c r="Q20" s="112">
        <f>IF(Req2!Q80=0,"",Req0!Q80/Req2!Q80)</f>
      </c>
      <c r="R20" s="112">
        <f>IF(Req2!R80=0,"",Req0!R80/Req2!R80)</f>
      </c>
      <c r="S20" s="112">
        <f>IF(Req2!S80=0,"",Req0!S80/Req2!S80)</f>
      </c>
      <c r="T20" s="112">
        <f>IF(Req2!T80=0,"",Req0!T80/Req2!T80)</f>
      </c>
      <c r="U20" s="112">
        <f>IF(Req2!U80=0,"",Req0!U80/Req2!U80)</f>
      </c>
      <c r="V20" s="112">
        <f>IF(Req2!V80=0,"",Req0!V80/Req2!V80)</f>
      </c>
      <c r="W20" s="112">
        <f>IF(Req2!W80=0,"",Req0!W80/Req2!W80)</f>
      </c>
      <c r="X20" s="112">
        <f>IF(Req2!X80=0,"",Req0!X80/Req2!X80)</f>
        <v>45.371249999999996</v>
      </c>
      <c r="Y20" s="112">
        <f>IF(Req2!Y80=0,"",Req0!Y80/Req2!Y80)</f>
        <v>52.6421301369863</v>
      </c>
      <c r="Z20" s="112">
        <f>IF(Req2!Z80=0,"",Req0!Z80/Req2!Z80)</f>
        <v>52.138203125</v>
      </c>
      <c r="AA20" s="112">
        <f>IF(Req2!AA80=0,"",Req0!AA80/Req2!AA80)</f>
        <v>56.238543307086616</v>
      </c>
      <c r="AB20" s="112">
        <f>IF(Req2!AB80=0,"",Req0!AB80/Req2!AB80)</f>
        <v>62.069812500000005</v>
      </c>
      <c r="AC20" s="112">
        <f>IF(Req2!AC80=0,"",Req0!AC80/Req2!AC80)</f>
        <v>59.03806013513514</v>
      </c>
      <c r="AD20" s="112">
        <f>IF(Req2!AD80=0,"",Req0!AD80/Req2!AD80)</f>
        <v>67.84542777777777</v>
      </c>
      <c r="AE20" s="112">
        <f>IF(Req2!AE80=0,"",Req0!AE80/Req2!AE80)</f>
        <v>61.85130981595091</v>
      </c>
      <c r="AF20" s="112">
        <f>IF(Req2!AF80=0,"",Req0!AF80/Req2!AF80)</f>
        <v>62.77864869109948</v>
      </c>
      <c r="AG20" s="112">
        <f>IF(Req2!AG80=0,"",Req0!AG80/Req2!AG80)</f>
        <v>58.5567593457944</v>
      </c>
      <c r="AH20" s="112">
        <f>IF(Req2!AH80=0,"",Req0!AH80/Req2!AH80)</f>
        <v>61.340465803108806</v>
      </c>
      <c r="AI20" s="112">
        <f>IF(Req2!AI80=0,"",Req0!AI80/Req2!AI80)</f>
        <v>65.89877391304348</v>
      </c>
    </row>
    <row r="21" spans="2:35" ht="25.5">
      <c r="B21" s="101" t="s">
        <v>14</v>
      </c>
      <c r="C21" s="112">
        <f>IF(Req2!C81=0,"",Req0!C81/Req2!C81)</f>
        <v>96.70309322033899</v>
      </c>
      <c r="D21" s="112">
        <f>IF(Req2!D81=0,"",Req0!D81/Req2!D81)</f>
        <v>95.04235714285714</v>
      </c>
      <c r="E21" s="112">
        <f>IF(Req2!E81=0,"",Req0!E81/Req2!E81)</f>
        <v>87.85106854838709</v>
      </c>
      <c r="F21" s="112">
        <f>IF(Req2!F81=0,"",Req0!F81/Req2!F81)</f>
        <v>95.06688053097346</v>
      </c>
      <c r="G21" s="112">
        <f>IF(Req2!G81=0,"",Req0!G81/Req2!G81)</f>
        <v>92.86134146341463</v>
      </c>
      <c r="H21" s="112">
        <f>IF(Req2!H81=0,"",Req0!H81/Req2!H81)</f>
        <v>83.04680769230768</v>
      </c>
      <c r="I21" s="112">
        <f>IF(Req2!I81=0,"",Req0!I81/Req2!I81)</f>
        <v>80.56159090909091</v>
      </c>
      <c r="J21" s="112">
        <f>IF(Req2!J81=0,"",Req0!J81/Req2!J81)</f>
        <v>96.61373831775701</v>
      </c>
      <c r="K21" s="112">
        <f>IF(Req2!K81=0,"",Req0!K81/Req2!K81)</f>
        <v>81.31796511627907</v>
      </c>
      <c r="L21" s="112">
        <f>IF(Req2!L81=0,"",Req0!L81/Req2!L81)</f>
        <v>90.71294491525424</v>
      </c>
      <c r="M21" s="112">
        <f>IF(Req2!M81=0,"",Req0!M81/Req2!M81)</f>
        <v>87.34515306122448</v>
      </c>
      <c r="N21" s="112">
        <f>IF(Req2!N81=0,"",Req0!N81/Req2!N81)</f>
        <v>80.98607812499999</v>
      </c>
      <c r="O21" s="112">
        <f>IF(Req2!O81=0,"",Req0!O81/Req2!O81)</f>
        <v>81.76398876404494</v>
      </c>
      <c r="P21" s="112">
        <f>IF(Req2!P81=0,"",Req0!P81/Req2!P81)</f>
        <v>79.86234375</v>
      </c>
      <c r="Q21" s="112">
        <f>IF(Req2!Q81=0,"",Req0!Q81/Req2!Q81)</f>
        <v>85.19303571428571</v>
      </c>
      <c r="R21" s="112">
        <f>IF(Req2!R81=0,"",Req0!R81/Req2!R81)</f>
        <v>86.76160714285714</v>
      </c>
      <c r="S21" s="112">
        <f>IF(Req2!S81=0,"",Req0!S81/Req2!S81)</f>
        <v>88.00590659340659</v>
      </c>
      <c r="T21" s="112">
        <f>IF(Req2!T81=0,"",Req0!T81/Req2!T81)</f>
        <v>78.31526381909548</v>
      </c>
      <c r="U21" s="112">
        <f>IF(Req2!U81=0,"",Req0!U81/Req2!U81)</f>
        <v>85.8722831632653</v>
      </c>
      <c r="V21" s="112">
        <f>IF(Req2!V81=0,"",Req0!V81/Req2!V81)</f>
        <v>89.8881923076923</v>
      </c>
      <c r="W21" s="112">
        <f>IF(Req2!W81=0,"",Req0!W81/Req2!W81)</f>
        <v>85.23356971153846</v>
      </c>
      <c r="X21" s="112">
        <f>IF(Req2!X81=0,"",Req0!X81/Req2!X81)</f>
        <v>79.40892857142858</v>
      </c>
      <c r="Y21" s="112">
        <f>IF(Req2!Y81=0,"",Req0!Y81/Req2!Y81)</f>
        <v>86.60415584415585</v>
      </c>
      <c r="Z21" s="112">
        <f>IF(Req2!Z81=0,"",Req0!Z81/Req2!Z81)</f>
        <v>80.80270047169812</v>
      </c>
      <c r="AA21" s="112">
        <f>IF(Req2!AA81=0,"",Req0!AA81/Req2!AA81)</f>
        <v>86.87371076233184</v>
      </c>
      <c r="AB21" s="112">
        <f>IF(Req2!AB81=0,"",Req0!AB81/Req2!AB81)</f>
        <v>86.3262962962963</v>
      </c>
      <c r="AC21" s="112">
        <f>IF(Req2!AC81=0,"",Req0!AC81/Req2!AC81)</f>
        <v>87.46160046728973</v>
      </c>
      <c r="AD21" s="112">
        <f>IF(Req2!AD81=0,"",Req0!AD81/Req2!AD81)</f>
        <v>93.97129912663756</v>
      </c>
      <c r="AE21" s="112">
        <f>IF(Req2!AE81=0,"",Req0!AE81/Req2!AE81)</f>
        <v>86.89073788546254</v>
      </c>
      <c r="AF21" s="112">
        <f>IF(Req2!AF81=0,"",Req0!AF81/Req2!AF81)</f>
        <v>89.09315217391305</v>
      </c>
      <c r="AG21" s="112">
        <f>IF(Req2!AG81=0,"",Req0!AG81/Req2!AG81)</f>
        <v>88.38426724137932</v>
      </c>
      <c r="AH21" s="112">
        <f>IF(Req2!AH81=0,"",Req0!AH81/Req2!AH81)</f>
        <v>85.34240343347639</v>
      </c>
      <c r="AI21" s="112">
        <f>IF(Req2!AI81=0,"",Req0!AI81/Req2!AI81)</f>
        <v>95.03711776859504</v>
      </c>
    </row>
    <row r="22" spans="2:35" ht="25.5">
      <c r="B22" s="101" t="s">
        <v>15</v>
      </c>
      <c r="C22" s="112">
        <f>IF(Req2!C82=0,"",Req0!C82/Req2!C82)</f>
        <v>146.1465</v>
      </c>
      <c r="D22" s="112">
        <f>IF(Req2!D82=0,"",Req0!D82/Req2!D82)</f>
        <v>121.61600000000001</v>
      </c>
      <c r="E22" s="112">
        <f>IF(Req2!E82=0,"",Req0!E82/Req2!E82)</f>
        <v>99.96466666666667</v>
      </c>
      <c r="F22" s="112">
        <f>IF(Req2!F82=0,"",Req0!F82/Req2!F82)</f>
        <v>131.7506666666667</v>
      </c>
      <c r="G22" s="112">
        <f>IF(Req2!G82=0,"",Req0!G82/Req2!G82)</f>
        <v>100.39242857142857</v>
      </c>
      <c r="H22" s="112">
        <f>IF(Req2!H82=0,"",Req0!H82/Req2!H82)</f>
        <v>87.7138125</v>
      </c>
      <c r="I22" s="112">
        <f>IF(Req2!I82=0,"",Req0!I82/Req2!I82)</f>
        <v>73.34471428571429</v>
      </c>
      <c r="J22" s="112">
        <f>IF(Req2!J82=0,"",Req0!J82/Req2!J82)</f>
        <v>117.3318</v>
      </c>
      <c r="K22" s="112">
        <f>IF(Req2!K82=0,"",Req0!K82/Req2!K82)</f>
        <v>113.42271428571428</v>
      </c>
      <c r="L22" s="112">
        <f>IF(Req2!L82=0,"",Req0!L82/Req2!L82)</f>
        <v>90.55736842105263</v>
      </c>
      <c r="M22" s="112">
        <f>IF(Req2!M82=0,"",Req0!M82/Req2!M82)</f>
        <v>88.47564</v>
      </c>
      <c r="N22" s="112">
        <f>IF(Req2!N82=0,"",Req0!N82/Req2!N82)</f>
        <v>99.28578947368422</v>
      </c>
      <c r="O22" s="112">
        <f>IF(Req2!O82=0,"",Req0!O82/Req2!O82)</f>
        <v>117.61547368421053</v>
      </c>
      <c r="P22" s="112">
        <f>IF(Req2!P82=0,"",Req0!P82/Req2!P82)</f>
        <v>118.26465</v>
      </c>
      <c r="Q22" s="112">
        <f>IF(Req2!Q82=0,"",Req0!Q82/Req2!Q82)</f>
        <v>143.55525</v>
      </c>
      <c r="R22" s="112">
        <f>IF(Req2!R82=0,"",Req0!R82/Req2!R82)</f>
        <v>128.8715</v>
      </c>
      <c r="S22" s="112">
        <f>IF(Req2!S82=0,"",Req0!S82/Req2!S82)</f>
        <v>107.20371428571427</v>
      </c>
      <c r="T22" s="112">
        <f>IF(Req2!T82=0,"",Req0!T82/Req2!T82)</f>
        <v>131.08676470588236</v>
      </c>
      <c r="U22" s="112">
        <f>IF(Req2!U82=0,"",Req0!U82/Req2!U82)</f>
        <v>100.04144444444445</v>
      </c>
      <c r="V22" s="112">
        <f>IF(Req2!V82=0,"",Req0!V82/Req2!V82)</f>
        <v>107.71626923076923</v>
      </c>
      <c r="W22" s="112">
        <f>IF(Req2!W82=0,"",Req0!W82/Req2!W82)</f>
        <v>122.66752173913044</v>
      </c>
      <c r="X22" s="112">
        <f>IF(Req2!X82=0,"",Req0!X82/Req2!X82)</f>
        <v>142.00050000000002</v>
      </c>
      <c r="Y22" s="112">
        <f>IF(Req2!Y82=0,"",Req0!Y82/Req2!Y82)</f>
        <v>102.34477777777778</v>
      </c>
      <c r="Z22" s="112">
        <f>IF(Req2!Z82=0,"",Req0!Z82/Req2!Z82)</f>
        <v>125.86071428571428</v>
      </c>
      <c r="AA22" s="112">
        <f>IF(Req2!AA82=0,"",Req0!AA82/Req2!AA82)</f>
        <v>111.86796428571428</v>
      </c>
      <c r="AB22" s="112">
        <f>IF(Req2!AB82=0,"",Req0!AB82/Req2!AB82)</f>
        <v>128.526</v>
      </c>
      <c r="AC22" s="112">
        <f>IF(Req2!AC82=0,"",Req0!AC82/Req2!AC82)</f>
        <v>127.5345652173913</v>
      </c>
      <c r="AD22" s="112">
        <f>IF(Req2!AD82=0,"",Req0!AD82/Req2!AD82)</f>
        <v>111.942</v>
      </c>
      <c r="AE22" s="112">
        <f>IF(Req2!AE82=0,"",Req0!AE82/Req2!AE82)</f>
        <v>131.376375</v>
      </c>
      <c r="AF22" s="112">
        <f>IF(Req2!AF82=0,"",Req0!AF82/Req2!AF82)</f>
        <v>122.49545454545455</v>
      </c>
      <c r="AG22" s="112">
        <f>IF(Req2!AG82=0,"",Req0!AG82/Req2!AG82)</f>
        <v>124.75017857142858</v>
      </c>
      <c r="AH22" s="112">
        <f>IF(Req2!AH82=0,"",Req0!AH82/Req2!AH82)</f>
        <v>151.90944</v>
      </c>
      <c r="AI22" s="112">
        <f>IF(Req2!AI82=0,"",Req0!AI82/Req2!AI82)</f>
        <v>139.0983</v>
      </c>
    </row>
    <row r="23" spans="2:35" ht="25.5">
      <c r="B23" s="101" t="s">
        <v>16</v>
      </c>
      <c r="C23" s="112">
        <f>IF(Req2!C83=0,"",Req0!C83/Req2!C83)</f>
      </c>
      <c r="D23" s="112">
        <f>IF(Req2!D83=0,"",Req0!D83/Req2!D83)</f>
      </c>
      <c r="E23" s="112">
        <f>IF(Req2!E83=0,"",Req0!E83/Req2!E83)</f>
      </c>
      <c r="F23" s="112">
        <f>IF(Req2!F83=0,"",Req0!F83/Req2!F83)</f>
      </c>
      <c r="G23" s="112">
        <f>IF(Req2!G83=0,"",Req0!G83/Req2!G83)</f>
      </c>
      <c r="H23" s="112">
        <f>IF(Req2!H83=0,"",Req0!H83/Req2!H83)</f>
      </c>
      <c r="I23" s="112">
        <f>IF(Req2!I83=0,"",Req0!I83/Req2!I83)</f>
      </c>
      <c r="J23" s="112">
        <f>IF(Req2!J83=0,"",Req0!J83/Req2!J83)</f>
      </c>
      <c r="K23" s="112">
        <f>IF(Req2!K83=0,"",Req0!K83/Req2!K83)</f>
        <v>210.6637</v>
      </c>
      <c r="L23" s="112">
        <f>IF(Req2!L83=0,"",Req0!L83/Req2!L83)</f>
        <v>216.181</v>
      </c>
      <c r="M23" s="112">
        <f>IF(Req2!M83=0,"",Req0!M83/Req2!M83)</f>
        <v>214.2725</v>
      </c>
      <c r="N23" s="112">
        <f>IF(Req2!N83=0,"",Req0!N83/Req2!N83)</f>
        <v>188.71016666666668</v>
      </c>
      <c r="O23" s="112">
        <f>IF(Req2!O83=0,"",Req0!O83/Req2!O83)</f>
        <v>237.0279888888889</v>
      </c>
      <c r="P23" s="112">
        <f>IF(Req2!P83=0,"",Req0!P83/Req2!P83)</f>
        <v>158.33610000000002</v>
      </c>
      <c r="Q23" s="112">
        <f>IF(Req2!Q83=0,"",Req0!Q83/Req2!Q83)</f>
        <v>185.2585681818182</v>
      </c>
      <c r="R23" s="112">
        <f>IF(Req2!R83=0,"",Req0!R83/Req2!R83)</f>
        <v>178.00643421052632</v>
      </c>
      <c r="S23" s="112">
        <f>IF(Req2!S83=0,"",Req0!S83/Req2!S83)</f>
        <v>149.19147087378641</v>
      </c>
      <c r="T23" s="112">
        <f>IF(Req2!T83=0,"",Req0!T83/Req2!T83)</f>
        <v>156.85579126213594</v>
      </c>
      <c r="U23" s="112">
        <f>IF(Req2!U83=0,"",Req0!U83/Req2!U83)</f>
        <v>161.658625</v>
      </c>
      <c r="V23" s="112">
        <f>IF(Req2!V83=0,"",Req0!V83/Req2!V83)</f>
        <v>148.46918253968252</v>
      </c>
      <c r="W23" s="112">
        <f>IF(Req2!W83=0,"",Req0!W83/Req2!W83)</f>
        <v>158.6918455284553</v>
      </c>
      <c r="X23" s="112">
        <f>IF(Req2!X83=0,"",Req0!X83/Req2!X83)</f>
        <v>136.52679591836733</v>
      </c>
      <c r="Y23" s="112">
        <f>IF(Req2!Y83=0,"",Req0!Y83/Req2!Y83)</f>
        <v>148.24649666666667</v>
      </c>
      <c r="Z23" s="112">
        <f>IF(Req2!Z83=0,"",Req0!Z83/Req2!Z83)</f>
        <v>166.09198739495795</v>
      </c>
      <c r="AA23" s="112">
        <f>IF(Req2!AA83=0,"",Req0!AA83/Req2!AA83)</f>
        <v>158.23444366197185</v>
      </c>
      <c r="AB23" s="112">
        <f>IF(Req2!AB83=0,"",Req0!AB83/Req2!AB83)</f>
        <v>167.05096808510638</v>
      </c>
      <c r="AC23" s="112">
        <f>IF(Req2!AC83=0,"",Req0!AC83/Req2!AC83)</f>
        <v>155.56551418439716</v>
      </c>
      <c r="AD23" s="112">
        <f>IF(Req2!AD83=0,"",Req0!AD83/Req2!AD83)</f>
        <v>166.76404577464788</v>
      </c>
      <c r="AE23" s="112">
        <f>IF(Req2!AE83=0,"",Req0!AE83/Req2!AE83)</f>
        <v>155.4361714285714</v>
      </c>
      <c r="AF23" s="112">
        <f>IF(Req2!AF83=0,"",Req0!AF83/Req2!AF83)</f>
        <v>156.60830188679245</v>
      </c>
      <c r="AG23" s="112">
        <f>IF(Req2!AG83=0,"",Req0!AG83/Req2!AG83)</f>
        <v>151.66040584415583</v>
      </c>
      <c r="AH23" s="112">
        <f>IF(Req2!AH83=0,"",Req0!AH83/Req2!AH83)</f>
        <v>153.47135971223022</v>
      </c>
      <c r="AI23" s="112">
        <f>IF(Req2!AI83=0,"",Req0!AI83/Req2!AI83)</f>
        <v>156.03577018633538</v>
      </c>
    </row>
    <row r="24" spans="2:35" ht="25.5">
      <c r="B24" s="101" t="s">
        <v>17</v>
      </c>
      <c r="C24" s="112">
        <f>IF(Req2!C84=0,"",Req0!C84/Req2!C84)</f>
      </c>
      <c r="D24" s="112">
        <f>IF(Req2!D84=0,"",Req0!D84/Req2!D84)</f>
      </c>
      <c r="E24" s="112">
        <f>IF(Req2!E84=0,"",Req0!E84/Req2!E84)</f>
      </c>
      <c r="F24" s="112">
        <f>IF(Req2!F84=0,"",Req0!F84/Req2!F84)</f>
      </c>
      <c r="G24" s="112">
        <f>IF(Req2!G84=0,"",Req0!G84/Req2!G84)</f>
      </c>
      <c r="H24" s="112">
        <f>IF(Req2!H84=0,"",Req0!H84/Req2!H84)</f>
      </c>
      <c r="I24" s="112">
        <f>IF(Req2!I84=0,"",Req0!I84/Req2!I84)</f>
      </c>
      <c r="J24" s="112">
        <f>IF(Req2!J84=0,"",Req0!J84/Req2!J84)</f>
      </c>
      <c r="K24" s="112">
        <f>IF(Req2!K84=0,"",Req0!K84/Req2!K84)</f>
      </c>
      <c r="L24" s="112">
        <f>IF(Req2!L84=0,"",Req0!L84/Req2!L84)</f>
      </c>
      <c r="M24" s="112">
        <f>IF(Req2!M84=0,"",Req0!M84/Req2!M84)</f>
      </c>
      <c r="N24" s="112">
        <f>IF(Req2!N84=0,"",Req0!N84/Req2!N84)</f>
      </c>
      <c r="O24" s="112">
        <f>IF(Req2!O84=0,"",Req0!O84/Req2!O84)</f>
      </c>
      <c r="P24" s="112">
        <f>IF(Req2!P84=0,"",Req0!P84/Req2!P84)</f>
      </c>
      <c r="Q24" s="112">
        <f>IF(Req2!Q84=0,"",Req0!Q84/Req2!Q84)</f>
      </c>
      <c r="R24" s="112">
        <f>IF(Req2!R84=0,"",Req0!R84/Req2!R84)</f>
      </c>
      <c r="S24" s="112">
        <f>IF(Req2!S84=0,"",Req0!S84/Req2!S84)</f>
      </c>
      <c r="T24" s="112">
        <f>IF(Req2!T84=0,"",Req0!T84/Req2!T84)</f>
      </c>
      <c r="U24" s="112">
        <f>IF(Req2!U84=0,"",Req0!U84/Req2!U84)</f>
      </c>
      <c r="V24" s="112">
        <f>IF(Req2!V84=0,"",Req0!V84/Req2!V84)</f>
      </c>
      <c r="W24" s="112">
        <f>IF(Req2!W84=0,"",Req0!W84/Req2!W84)</f>
        <v>250.5525</v>
      </c>
      <c r="X24" s="112">
        <f>IF(Req2!X84=0,"",Req0!X84/Req2!X84)</f>
        <v>234.5238888888889</v>
      </c>
      <c r="Y24" s="112">
        <f>IF(Req2!Y84=0,"",Req0!Y84/Req2!Y84)</f>
        <v>220.64465217391304</v>
      </c>
      <c r="Z24" s="112">
        <f>IF(Req2!Z84=0,"",Req0!Z84/Req2!Z84)</f>
        <v>237.77179166666667</v>
      </c>
      <c r="AA24" s="112">
        <f>IF(Req2!AA84=0,"",Req0!AA84/Req2!AA84)</f>
        <v>342.0561851851852</v>
      </c>
      <c r="AB24" s="112">
        <f>IF(Req2!AB84=0,"",Req0!AB84/Req2!AB84)</f>
        <v>289.5868823529412</v>
      </c>
      <c r="AC24" s="112">
        <f>IF(Req2!AC84=0,"",Req0!AC84/Req2!AC84)</f>
        <v>287.08582352941175</v>
      </c>
      <c r="AD24" s="112">
        <f>IF(Req2!AD84=0,"",Req0!AD84/Req2!AD84)</f>
        <v>345.079125</v>
      </c>
      <c r="AE24" s="112">
        <f>IF(Req2!AE84=0,"",Req0!AE84/Req2!AE84)</f>
        <v>354.1677941176471</v>
      </c>
      <c r="AF24" s="112">
        <f>IF(Req2!AF84=0,"",Req0!AF84/Req2!AF84)</f>
        <v>378.79672727272725</v>
      </c>
      <c r="AG24" s="112">
        <f>IF(Req2!AG84=0,"",Req0!AG84/Req2!AG84)</f>
        <v>333.02874285714284</v>
      </c>
      <c r="AH24" s="112">
        <f>IF(Req2!AH84=0,"",Req0!AH84/Req2!AH84)</f>
        <v>344.02461111111114</v>
      </c>
      <c r="AI24" s="112">
        <f>IF(Req2!AI84=0,"",Req0!AI84/Req2!AI84)</f>
        <v>354.7890888888889</v>
      </c>
    </row>
    <row r="25" spans="2:35" ht="25.5">
      <c r="B25" s="101" t="s">
        <v>18</v>
      </c>
      <c r="C25" s="112">
        <f>IF(Req2!C85=0,"",Req0!C85/Req2!C85)</f>
      </c>
      <c r="D25" s="112">
        <f>IF(Req2!D85=0,"",Req0!D85/Req2!D85)</f>
      </c>
      <c r="E25" s="112">
        <f>IF(Req2!E85=0,"",Req0!E85/Req2!E85)</f>
      </c>
      <c r="F25" s="112">
        <f>IF(Req2!F85=0,"",Req0!F85/Req2!F85)</f>
      </c>
      <c r="G25" s="112">
        <f>IF(Req2!G85=0,"",Req0!G85/Req2!G85)</f>
      </c>
      <c r="H25" s="112">
        <f>IF(Req2!H85=0,"",Req0!H85/Req2!H85)</f>
      </c>
      <c r="I25" s="112">
        <f>IF(Req2!I85=0,"",Req0!I85/Req2!I85)</f>
      </c>
      <c r="J25" s="112">
        <f>IF(Req2!J85=0,"",Req0!J85/Req2!J85)</f>
      </c>
      <c r="K25" s="112">
        <f>IF(Req2!K85=0,"",Req0!K85/Req2!K85)</f>
      </c>
      <c r="L25" s="112">
        <f>IF(Req2!L85=0,"",Req0!L85/Req2!L85)</f>
      </c>
      <c r="M25" s="112">
        <f>IF(Req2!M85=0,"",Req0!M85/Req2!M85)</f>
      </c>
      <c r="N25" s="112">
        <f>IF(Req2!N85=0,"",Req0!N85/Req2!N85)</f>
      </c>
      <c r="O25" s="112">
        <f>IF(Req2!O85=0,"",Req0!O85/Req2!O85)</f>
      </c>
      <c r="P25" s="112">
        <f>IF(Req2!P85=0,"",Req0!P85/Req2!P85)</f>
      </c>
      <c r="Q25" s="112">
        <f>IF(Req2!Q85=0,"",Req0!Q85/Req2!Q85)</f>
      </c>
      <c r="R25" s="112">
        <f>IF(Req2!R85=0,"",Req0!R85/Req2!R85)</f>
      </c>
      <c r="S25" s="112">
        <f>IF(Req2!S85=0,"",Req0!S85/Req2!S85)</f>
      </c>
      <c r="T25" s="112">
        <f>IF(Req2!T85=0,"",Req0!T85/Req2!T85)</f>
      </c>
      <c r="U25" s="112">
        <f>IF(Req2!U85=0,"",Req0!U85/Req2!U85)</f>
      </c>
      <c r="V25" s="112">
        <f>IF(Req2!V85=0,"",Req0!V85/Req2!V85)</f>
      </c>
      <c r="W25" s="112">
        <f>IF(Req2!W85=0,"",Req0!W85/Req2!W85)</f>
      </c>
      <c r="X25" s="112">
        <f>IF(Req2!X85=0,"",Req0!X85/Req2!X85)</f>
        <v>180.55999999999997</v>
      </c>
      <c r="Y25" s="112">
        <f>IF(Req2!Y85=0,"",Req0!Y85/Req2!Y85)</f>
        <v>282.18666666666667</v>
      </c>
      <c r="Z25" s="112">
        <f>IF(Req2!Z85=0,"",Req0!Z85/Req2!Z85)</f>
        <v>266.4</v>
      </c>
      <c r="AA25" s="112">
        <f>IF(Req2!AA85=0,"",Req0!AA85/Req2!AA85)</f>
        <v>246.86399999999998</v>
      </c>
      <c r="AB25" s="112">
        <f>IF(Req2!AB85=0,"",Req0!AB85/Req2!AB85)</f>
        <v>253.3136842105263</v>
      </c>
      <c r="AC25" s="112">
        <f>IF(Req2!AC85=0,"",Req0!AC85/Req2!AC85)</f>
        <v>229.95339130434783</v>
      </c>
      <c r="AD25" s="112">
        <f>IF(Req2!AD85=0,"",Req0!AD85/Req2!AD85)</f>
        <v>223.64444444444442</v>
      </c>
      <c r="AE25" s="112">
        <f>IF(Req2!AE85=0,"",Req0!AE85/Req2!AE85)</f>
        <v>193.41212903225806</v>
      </c>
      <c r="AF25" s="112">
        <f>IF(Req2!AF85=0,"",Req0!AF85/Req2!AF85)</f>
        <v>179.50595121951218</v>
      </c>
      <c r="AG25" s="112">
        <f>IF(Req2!AG85=0,"",Req0!AG85/Req2!AG85)</f>
        <v>253.13920000000002</v>
      </c>
      <c r="AH25" s="112">
        <f>IF(Req2!AH85=0,"",Req0!AH85/Req2!AH85)</f>
        <v>261.74565517241376</v>
      </c>
      <c r="AI25" s="112">
        <f>IF(Req2!AI85=0,"",Req0!AI85/Req2!AI85)</f>
        <v>252.62254545454545</v>
      </c>
    </row>
    <row r="26" spans="2:35" ht="12.75">
      <c r="B26" s="101" t="s">
        <v>19</v>
      </c>
      <c r="C26" s="112">
        <f>IF(Req2!C86=0,"",Req0!C86/Req2!C86)</f>
        <v>84.8548</v>
      </c>
      <c r="D26" s="112">
        <f>IF(Req2!D86=0,"",Req0!D86/Req2!D86)</f>
        <v>34.495636363636365</v>
      </c>
      <c r="E26" s="112">
        <f>IF(Req2!E86=0,"",Req0!E86/Req2!E86)</f>
        <v>50.42475</v>
      </c>
      <c r="F26" s="112">
        <f>IF(Req2!F86=0,"",Req0!F86/Req2!F86)</f>
        <v>59.148666666666664</v>
      </c>
      <c r="G26" s="112">
        <f>IF(Req2!G86=0,"",Req0!G86/Req2!G86)</f>
        <v>49.03228571428571</v>
      </c>
      <c r="H26" s="112">
        <f>IF(Req2!H86=0,"",Req0!H86/Req2!H86)</f>
        <v>33.323454545454545</v>
      </c>
      <c r="I26" s="112">
        <f>IF(Req2!I86=0,"",Req0!I86/Req2!I86)</f>
        <v>27.299384615384614</v>
      </c>
      <c r="J26" s="112">
        <f>IF(Req2!J86=0,"",Req0!J86/Req2!J86)</f>
        <v>39.0504</v>
      </c>
      <c r="K26" s="112">
        <f>IF(Req2!K86=0,"",Req0!K86/Req2!K86)</f>
        <v>30.290666666666667</v>
      </c>
      <c r="L26" s="112">
        <f>IF(Req2!L86=0,"",Req0!L86/Req2!L86)</f>
        <v>36.294222222222224</v>
      </c>
      <c r="M26" s="112">
        <f>IF(Req2!M86=0,"",Req0!M86/Req2!M86)</f>
        <v>46.4798</v>
      </c>
      <c r="N26" s="112">
        <f>IF(Req2!N86=0,"",Req0!N86/Req2!N86)</f>
        <v>42.093111111111114</v>
      </c>
      <c r="O26" s="112">
        <f>IF(Req2!O86=0,"",Req0!O86/Req2!O86)</f>
        <v>27.670933333333334</v>
      </c>
      <c r="P26" s="112">
        <f>IF(Req2!P86=0,"",Req0!P86/Req2!P86)</f>
        <v>35.27709090909091</v>
      </c>
      <c r="Q26" s="112">
        <f>IF(Req2!Q86=0,"",Req0!Q86/Req2!Q86)</f>
        <v>34.33283333333333</v>
      </c>
      <c r="R26" s="112">
        <f>IF(Req2!R86=0,"",Req0!R86/Req2!R86)</f>
        <v>34.690999999999995</v>
      </c>
      <c r="S26" s="112">
        <f>IF(Req2!S86=0,"",Req0!S86/Req2!S86)</f>
        <v>30.747230769230768</v>
      </c>
      <c r="T26" s="112">
        <f>IF(Req2!T86=0,"",Req0!T86/Req2!T86)</f>
        <v>39.347166666666666</v>
      </c>
      <c r="U26" s="112">
        <f>IF(Req2!U86=0,"",Req0!U86/Req2!U86)</f>
        <v>36.33763636363636</v>
      </c>
      <c r="V26" s="112">
        <f>IF(Req2!V86=0,"",Req0!V86/Req2!V86)</f>
        <v>37.65866666666667</v>
      </c>
      <c r="W26" s="112">
        <f>IF(Req2!W86=0,"",Req0!W86/Req2!W86)</f>
        <v>32.273375</v>
      </c>
      <c r="X26" s="112">
        <f>IF(Req2!X86=0,"",Req0!X86/Req2!X86)</f>
        <v>26.796714285714284</v>
      </c>
      <c r="Y26" s="112">
        <f>IF(Req2!Y86=0,"",Req0!Y86/Req2!Y86)</f>
        <v>43.1642</v>
      </c>
      <c r="Z26" s="112">
        <f>IF(Req2!Z86=0,"",Req0!Z86/Req2!Z86)</f>
        <v>32.95133333333333</v>
      </c>
      <c r="AA26" s="112">
        <f>IF(Req2!AA86=0,"",Req0!AA86/Req2!AA86)</f>
        <v>37.06327272727273</v>
      </c>
      <c r="AB26" s="112">
        <f>IF(Req2!AB86=0,"",Req0!AB86/Req2!AB86)</f>
        <v>33.36066666666667</v>
      </c>
      <c r="AC26" s="112">
        <f>IF(Req2!AC86=0,"",Req0!AC86/Req2!AC86)</f>
        <v>31.621</v>
      </c>
      <c r="AD26" s="112">
        <f>IF(Req2!AD86=0,"",Req0!AD86/Req2!AD86)</f>
        <v>32.787600000000005</v>
      </c>
      <c r="AE26" s="112">
        <f>IF(Req2!AE86=0,"",Req0!AE86/Req2!AE86)</f>
        <v>26.17175</v>
      </c>
      <c r="AF26" s="112">
        <f>IF(Req2!AF86=0,"",Req0!AF86/Req2!AF86)</f>
        <v>28.244</v>
      </c>
      <c r="AG26" s="112">
        <f>IF(Req2!AG86=0,"",Req0!AG86/Req2!AG86)</f>
        <v>29.86929411764706</v>
      </c>
      <c r="AH26" s="112">
        <f>IF(Req2!AH86=0,"",Req0!AH86/Req2!AH86)</f>
        <v>35.305</v>
      </c>
      <c r="AI26" s="112">
        <f>IF(Req2!AI86=0,"",Req0!AI86/Req2!AI86)</f>
        <v>37.93642857142857</v>
      </c>
    </row>
    <row r="27" spans="2:35" ht="25.5">
      <c r="B27" s="101" t="s">
        <v>20</v>
      </c>
      <c r="C27" s="112">
        <f>IF(Req2!C87=0,"",Req0!C87/Req2!C87)</f>
        <v>22.73616911764706</v>
      </c>
      <c r="D27" s="112">
        <f>IF(Req2!D87=0,"",Req0!D87/Req2!D87)</f>
        <v>24.565656626506023</v>
      </c>
      <c r="E27" s="112">
        <f>IF(Req2!E87=0,"",Req0!E87/Req2!E87)</f>
        <v>29.701448529411763</v>
      </c>
      <c r="F27" s="112">
        <f>IF(Req2!F87=0,"",Req0!F87/Req2!F87)</f>
        <v>23.850940789473682</v>
      </c>
      <c r="G27" s="112">
        <f>IF(Req2!G87=0,"",Req0!G87/Req2!G87)</f>
        <v>23.668475308641977</v>
      </c>
      <c r="H27" s="112">
        <f>IF(Req2!H87=0,"",Req0!H87/Req2!H87)</f>
        <v>22.95808208955224</v>
      </c>
      <c r="I27" s="112">
        <f>IF(Req2!I87=0,"",Req0!I87/Req2!I87)</f>
        <v>24.756371794871797</v>
      </c>
      <c r="J27" s="112">
        <f>IF(Req2!J87=0,"",Req0!J87/Req2!J87)</f>
        <v>26.14048630136986</v>
      </c>
      <c r="K27" s="112">
        <f>IF(Req2!K87=0,"",Req0!K87/Req2!K87)</f>
        <v>24.434246666666667</v>
      </c>
      <c r="L27" s="112">
        <f>IF(Req2!L87=0,"",Req0!L87/Req2!L87)</f>
        <v>26.56729230769231</v>
      </c>
      <c r="M27" s="112">
        <f>IF(Req2!M87=0,"",Req0!M87/Req2!M87)</f>
        <v>23.659658823529412</v>
      </c>
      <c r="N27" s="112">
        <f>IF(Req2!N87=0,"",Req0!N87/Req2!N87)</f>
        <v>25.12025</v>
      </c>
      <c r="O27" s="112">
        <f>IF(Req2!O87=0,"",Req0!O87/Req2!O87)</f>
        <v>23.06866265060241</v>
      </c>
      <c r="P27" s="112">
        <f>IF(Req2!P87=0,"",Req0!P87/Req2!P87)</f>
        <v>25.10216911764706</v>
      </c>
      <c r="Q27" s="112">
        <f>IF(Req2!Q87=0,"",Req0!Q87/Req2!Q87)</f>
        <v>24.941446969696973</v>
      </c>
      <c r="R27" s="112">
        <f>IF(Req2!R87=0,"",Req0!R87/Req2!R87)</f>
        <v>28.37289344262295</v>
      </c>
      <c r="S27" s="112">
        <f>IF(Req2!S87=0,"",Req0!S87/Req2!S87)</f>
        <v>24.39776712328767</v>
      </c>
      <c r="T27" s="112">
        <f>IF(Req2!T87=0,"",Req0!T87/Req2!T87)</f>
        <v>25.805985294117647</v>
      </c>
      <c r="U27" s="112">
        <f>IF(Req2!U87=0,"",Req0!U87/Req2!U87)</f>
        <v>29.97109677419355</v>
      </c>
      <c r="V27" s="112">
        <f>IF(Req2!V87=0,"",Req0!V87/Req2!V87)</f>
        <v>25.928072463768117</v>
      </c>
      <c r="W27" s="112">
        <f>IF(Req2!W87=0,"",Req0!W87/Req2!W87)</f>
        <v>29.734201754385964</v>
      </c>
      <c r="X27" s="112">
        <f>IF(Req2!X87=0,"",Req0!X87/Req2!X87)</f>
        <v>25.00790769230769</v>
      </c>
      <c r="Y27" s="112">
        <f>IF(Req2!Y87=0,"",Req0!Y87/Req2!Y87)</f>
        <v>27.314636363636364</v>
      </c>
      <c r="Z27" s="112">
        <f>IF(Req2!Z87=0,"",Req0!Z87/Req2!Z87)</f>
        <v>24.405237288135595</v>
      </c>
      <c r="AA27" s="112">
        <f>IF(Req2!AA87=0,"",Req0!AA87/Req2!AA87)</f>
        <v>25.16518115942029</v>
      </c>
      <c r="AB27" s="112">
        <f>IF(Req2!AB87=0,"",Req0!AB87/Req2!AB87)</f>
        <v>24.722238461538463</v>
      </c>
      <c r="AC27" s="112">
        <f>IF(Req2!AC87=0,"",Req0!AC87/Req2!AC87)</f>
        <v>26.55955833333333</v>
      </c>
      <c r="AD27" s="112">
        <f>IF(Req2!AD87=0,"",Req0!AD87/Req2!AD87)</f>
        <v>28.042205357142855</v>
      </c>
      <c r="AE27" s="112">
        <f>IF(Req2!AE87=0,"",Req0!AE87/Req2!AE87)</f>
        <v>22.84358208955224</v>
      </c>
      <c r="AF27" s="112">
        <f>IF(Req2!AF87=0,"",Req0!AF87/Req2!AF87)</f>
        <v>28.42322727272727</v>
      </c>
      <c r="AG27" s="112">
        <f>IF(Req2!AG87=0,"",Req0!AG87/Req2!AG87)</f>
        <v>23.03828358208955</v>
      </c>
      <c r="AH27" s="112">
        <f>IF(Req2!AH87=0,"",Req0!AH87/Req2!AH87)</f>
        <v>16.402809523809523</v>
      </c>
      <c r="AI27" s="112">
        <f>IF(Req2!AI87=0,"",Req0!AI87/Req2!AI87)</f>
        <v>19.705466666666666</v>
      </c>
    </row>
    <row r="28" spans="2:35" ht="25.5">
      <c r="B28" s="101" t="s">
        <v>21</v>
      </c>
      <c r="C28" s="112">
        <f>IF(Req2!C88=0,"",Req0!C88/Req2!C88)</f>
        <v>5.459433333333333</v>
      </c>
      <c r="D28" s="112">
        <f>IF(Req2!D88=0,"",Req0!D88/Req2!D88)</f>
        <v>6.124487179487179</v>
      </c>
      <c r="E28" s="112">
        <f>IF(Req2!E88=0,"",Req0!E88/Req2!E88)</f>
        <v>5.264444444444445</v>
      </c>
      <c r="F28" s="112">
        <f>IF(Req2!F88=0,"",Req0!F88/Req2!F88)</f>
        <v>6.65651724137931</v>
      </c>
      <c r="G28" s="112">
        <f>IF(Req2!G88=0,"",Req0!G88/Req2!G88)</f>
        <v>5.806147058823529</v>
      </c>
      <c r="H28" s="112">
        <f>IF(Req2!H88=0,"",Req0!H88/Req2!H88)</f>
        <v>7.207403846153847</v>
      </c>
      <c r="I28" s="112">
        <f>IF(Req2!I88=0,"",Req0!I88/Req2!I88)</f>
        <v>6.701327586206897</v>
      </c>
      <c r="J28" s="112">
        <f>IF(Req2!J88=0,"",Req0!J88/Req2!J88)</f>
        <v>6.660142857142858</v>
      </c>
      <c r="K28" s="112">
        <f>IF(Req2!K88=0,"",Req0!K88/Req2!K88)</f>
        <v>6.253699999999999</v>
      </c>
      <c r="L28" s="112">
        <f>IF(Req2!L88=0,"",Req0!L88/Req2!L88)</f>
        <v>6.24795</v>
      </c>
      <c r="M28" s="112">
        <f>IF(Req2!M88=0,"",Req0!M88/Req2!M88)</f>
        <v>6.95175</v>
      </c>
      <c r="N28" s="112">
        <f>IF(Req2!N88=0,"",Req0!N88/Req2!N88)</f>
        <v>6.502655172413793</v>
      </c>
      <c r="O28" s="112">
        <f>IF(Req2!O88=0,"",Req0!O88/Req2!O88)</f>
        <v>7.1266612903225806</v>
      </c>
      <c r="P28" s="112">
        <f>IF(Req2!P88=0,"",Req0!P88/Req2!P88)</f>
        <v>7.817870370370371</v>
      </c>
      <c r="Q28" s="112">
        <f>IF(Req2!Q88=0,"",Req0!Q88/Req2!Q88)</f>
        <v>6.520942307692308</v>
      </c>
      <c r="R28" s="112">
        <f>IF(Req2!R88=0,"",Req0!R88/Req2!R88)</f>
        <v>6.704103448275863</v>
      </c>
      <c r="S28" s="112">
        <f>IF(Req2!S88=0,"",Req0!S88/Req2!S88)</f>
        <v>7.231583333333333</v>
      </c>
      <c r="T28" s="112">
        <f>IF(Req2!T88=0,"",Req0!T88/Req2!T88)</f>
        <v>6.508258064516129</v>
      </c>
      <c r="U28" s="112">
        <f>IF(Req2!U88=0,"",Req0!U88/Req2!U88)</f>
        <v>6.458177419354838</v>
      </c>
      <c r="V28" s="112">
        <f>IF(Req2!V88=0,"",Req0!V88/Req2!V88)</f>
        <v>6.662652777777778</v>
      </c>
      <c r="W28" s="112">
        <f>IF(Req2!W88=0,"",Req0!W88/Req2!W88)</f>
        <v>7.28525</v>
      </c>
      <c r="X28" s="112">
        <f>IF(Req2!X88=0,"",Req0!X88/Req2!X88)</f>
        <v>6.536080645161291</v>
      </c>
      <c r="Y28" s="112">
        <f>IF(Req2!Y88=0,"",Req0!Y88/Req2!Y88)</f>
        <v>7.344392857142857</v>
      </c>
      <c r="Z28" s="112">
        <f>IF(Req2!Z88=0,"",Req0!Z88/Req2!Z88)</f>
        <v>7.218592592592592</v>
      </c>
      <c r="AA28" s="112">
        <f>IF(Req2!AA88=0,"",Req0!AA88/Req2!AA88)</f>
        <v>7.154642857142858</v>
      </c>
      <c r="AB28" s="112">
        <f>IF(Req2!AB88=0,"",Req0!AB88/Req2!AB88)</f>
        <v>8.172666666666666</v>
      </c>
      <c r="AC28" s="112">
        <f>IF(Req2!AC88=0,"",Req0!AC88/Req2!AC88)</f>
        <v>8.993</v>
      </c>
      <c r="AD28" s="112">
        <f>IF(Req2!AD88=0,"",Req0!AD88/Req2!AD88)</f>
        <v>7.732362068965517</v>
      </c>
      <c r="AE28" s="112">
        <f>IF(Req2!AE88=0,"",Req0!AE88/Req2!AE88)</f>
        <v>8.750404761904761</v>
      </c>
      <c r="AF28" s="112">
        <f>IF(Req2!AF88=0,"",Req0!AF88/Req2!AF88)</f>
        <v>8.752777777777778</v>
      </c>
      <c r="AG28" s="112">
        <f>IF(Req2!AG88=0,"",Req0!AG88/Req2!AG88)</f>
        <v>6.95014</v>
      </c>
      <c r="AH28" s="112">
        <f>IF(Req2!AH88=0,"",Req0!AH88/Req2!AH88)</f>
        <v>8.20887037037037</v>
      </c>
      <c r="AI28" s="112">
        <f>IF(Req2!AI88=0,"",Req0!AI88/Req2!AI88)</f>
        <v>7.335296296296296</v>
      </c>
    </row>
    <row r="29" spans="2:35" ht="25.5">
      <c r="B29" s="101" t="s">
        <v>22</v>
      </c>
      <c r="C29" s="112">
        <f>IF(Req2!C89=0,"",Req0!C89/Req2!C89)</f>
        <v>16.761266666666668</v>
      </c>
      <c r="D29" s="112">
        <f>IF(Req2!D89=0,"",Req0!D89/Req2!D89)</f>
        <v>21.37153846153846</v>
      </c>
      <c r="E29" s="112">
        <f>IF(Req2!E89=0,"",Req0!E89/Req2!E89)</f>
        <v>21.23481818181818</v>
      </c>
      <c r="F29" s="112">
        <f>IF(Req2!F89=0,"",Req0!F89/Req2!F89)</f>
        <v>16.3415</v>
      </c>
      <c r="G29" s="112">
        <f>IF(Req2!G89=0,"",Req0!G89/Req2!G89)</f>
        <v>16.143866666666664</v>
      </c>
      <c r="H29" s="112">
        <f>IF(Req2!H89=0,"",Req0!H89/Req2!H89)</f>
        <v>12.843444444444444</v>
      </c>
      <c r="I29" s="112">
        <f>IF(Req2!I89=0,"",Req0!I89/Req2!I89)</f>
        <v>14.794733333333333</v>
      </c>
      <c r="J29" s="112">
        <f>IF(Req2!J89=0,"",Req0!J89/Req2!J89)</f>
        <v>13.605666666666668</v>
      </c>
      <c r="K29" s="112">
        <f>IF(Req2!K89=0,"",Req0!K89/Req2!K89)</f>
        <v>15.596411764705882</v>
      </c>
      <c r="L29" s="112">
        <f>IF(Req2!L89=0,"",Req0!L89/Req2!L89)</f>
        <v>12.529588235294117</v>
      </c>
      <c r="M29" s="112">
        <f>IF(Req2!M89=0,"",Req0!M89/Req2!M89)</f>
        <v>19.49383333333333</v>
      </c>
      <c r="N29" s="112">
        <f>IF(Req2!N89=0,"",Req0!N89/Req2!N89)</f>
        <v>15.435</v>
      </c>
      <c r="O29" s="112">
        <f>IF(Req2!O89=0,"",Req0!O89/Req2!O89)</f>
        <v>16.807</v>
      </c>
      <c r="P29" s="112">
        <f>IF(Req2!P89=0,"",Req0!P89/Req2!P89)</f>
        <v>15.892333333333333</v>
      </c>
      <c r="Q29" s="112">
        <f>IF(Req2!Q89=0,"",Req0!Q89/Req2!Q89)</f>
        <v>20.031200000000002</v>
      </c>
      <c r="R29" s="112">
        <f>IF(Req2!R89=0,"",Req0!R89/Req2!R89)</f>
        <v>16.435416666666665</v>
      </c>
      <c r="S29" s="112">
        <f>IF(Req2!S89=0,"",Req0!S89/Req2!S89)</f>
        <v>15.239</v>
      </c>
      <c r="T29" s="112">
        <f>IF(Req2!T89=0,"",Req0!T89/Req2!T89)</f>
        <v>18.321916666666667</v>
      </c>
      <c r="U29" s="112">
        <f>IF(Req2!U89=0,"",Req0!U89/Req2!U89)</f>
        <v>13.598941176470587</v>
      </c>
      <c r="V29" s="112">
        <f>IF(Req2!V89=0,"",Req0!V89/Req2!V89)</f>
        <v>18.495615384615384</v>
      </c>
      <c r="W29" s="112">
        <f>IF(Req2!W89=0,"",Req0!W89/Req2!W89)</f>
        <v>18.12623076923077</v>
      </c>
      <c r="X29" s="112">
        <f>IF(Req2!X89=0,"",Req0!X89/Req2!X89)</f>
        <v>18.39727272727273</v>
      </c>
      <c r="Y29" s="112">
        <f>IF(Req2!Y89=0,"",Req0!Y89/Req2!Y89)</f>
        <v>17.281923076923075</v>
      </c>
      <c r="Z29" s="112">
        <f>IF(Req2!Z89=0,"",Req0!Z89/Req2!Z89)</f>
        <v>11.858</v>
      </c>
      <c r="AA29" s="112">
        <f>IF(Req2!AA89=0,"",Req0!AA89/Req2!AA89)</f>
        <v>14.688470588235294</v>
      </c>
      <c r="AB29" s="112">
        <f>IF(Req2!AB89=0,"",Req0!AB89/Req2!AB89)</f>
        <v>13.2055</v>
      </c>
      <c r="AC29" s="112">
        <f>IF(Req2!AC89=0,"",Req0!AC89/Req2!AC89)</f>
        <v>15.892333333333333</v>
      </c>
      <c r="AD29" s="112">
        <f>IF(Req2!AD89=0,"",Req0!AD89/Req2!AD89)</f>
        <v>16.0524</v>
      </c>
      <c r="AE29" s="112">
        <f>IF(Req2!AE89=0,"",Req0!AE89/Req2!AE89)</f>
        <v>13.9129375</v>
      </c>
      <c r="AF29" s="112">
        <f>IF(Req2!AF89=0,"",Req0!AF89/Req2!AF89)</f>
        <v>16.856</v>
      </c>
      <c r="AG29" s="112">
        <f>IF(Req2!AG89=0,"",Req0!AG89/Req2!AG89)</f>
        <v>20.174636363636363</v>
      </c>
      <c r="AH29" s="112">
        <f>IF(Req2!AH89=0,"",Req0!AH89/Req2!AH89)</f>
        <v>16.1424375</v>
      </c>
      <c r="AI29" s="112">
        <f>IF(Req2!AI89=0,"",Req0!AI89/Req2!AI89)</f>
        <v>13.467263157894736</v>
      </c>
    </row>
    <row r="30" spans="2:35" ht="25.5">
      <c r="B30" s="101" t="s">
        <v>23</v>
      </c>
      <c r="C30" s="112">
        <f>IF(Req2!C90=0,"",Req0!C90/Req2!C90)</f>
      </c>
      <c r="D30" s="112">
        <f>IF(Req2!D90=0,"",Req0!D90/Req2!D90)</f>
      </c>
      <c r="E30" s="112">
        <f>IF(Req2!E90=0,"",Req0!E90/Req2!E90)</f>
      </c>
      <c r="F30" s="112">
        <f>IF(Req2!F90=0,"",Req0!F90/Req2!F90)</f>
      </c>
      <c r="G30" s="112">
        <f>IF(Req2!G90=0,"",Req0!G90/Req2!G90)</f>
      </c>
      <c r="H30" s="112">
        <f>IF(Req2!H90=0,"",Req0!H90/Req2!H90)</f>
      </c>
      <c r="I30" s="112">
        <f>IF(Req2!I90=0,"",Req0!I90/Req2!I90)</f>
      </c>
      <c r="J30" s="112">
        <f>IF(Req2!J90=0,"",Req0!J90/Req2!J90)</f>
      </c>
      <c r="K30" s="112">
        <f>IF(Req2!K90=0,"",Req0!K90/Req2!K90)</f>
      </c>
      <c r="L30" s="112">
        <f>IF(Req2!L90=0,"",Req0!L90/Req2!L90)</f>
      </c>
      <c r="M30" s="112">
        <f>IF(Req2!M90=0,"",Req0!M90/Req2!M90)</f>
      </c>
      <c r="N30" s="112">
        <f>IF(Req2!N90=0,"",Req0!N90/Req2!N90)</f>
      </c>
      <c r="O30" s="112">
        <f>IF(Req2!O90=0,"",Req0!O90/Req2!O90)</f>
      </c>
      <c r="P30" s="112">
        <f>IF(Req2!P90=0,"",Req0!P90/Req2!P90)</f>
      </c>
      <c r="Q30" s="112">
        <f>IF(Req2!Q90=0,"",Req0!Q90/Req2!Q90)</f>
      </c>
      <c r="R30" s="112">
        <f>IF(Req2!R90=0,"",Req0!R90/Req2!R90)</f>
      </c>
      <c r="S30" s="112">
        <f>IF(Req2!S90=0,"",Req0!S90/Req2!S90)</f>
      </c>
      <c r="T30" s="112">
        <f>IF(Req2!T90=0,"",Req0!T90/Req2!T90)</f>
      </c>
      <c r="U30" s="112">
        <f>IF(Req2!U90=0,"",Req0!U90/Req2!U90)</f>
      </c>
      <c r="V30" s="112">
        <f>IF(Req2!V90=0,"",Req0!V90/Req2!V90)</f>
      </c>
      <c r="W30" s="112">
        <f>IF(Req2!W90=0,"",Req0!W90/Req2!W90)</f>
      </c>
      <c r="X30" s="112">
        <f>IF(Req2!X90=0,"",Req0!X90/Req2!X90)</f>
      </c>
      <c r="Y30" s="112">
        <f>IF(Req2!Y90=0,"",Req0!Y90/Req2!Y90)</f>
        <v>18.457563829787233</v>
      </c>
      <c r="Z30" s="112">
        <f>IF(Req2!Z90=0,"",Req0!Z90/Req2!Z90)</f>
        <v>22.20904945054945</v>
      </c>
      <c r="AA30" s="112">
        <f>IF(Req2!AA90=0,"",Req0!AA90/Req2!AA90)</f>
        <v>24.374072916666666</v>
      </c>
      <c r="AB30" s="112">
        <f>IF(Req2!AB90=0,"",Req0!AB90/Req2!AB90)</f>
        <v>24.806102127659575</v>
      </c>
      <c r="AC30" s="112">
        <f>IF(Req2!AC90=0,"",Req0!AC90/Req2!AC90)</f>
        <v>25.79001608040201</v>
      </c>
      <c r="AD30" s="112">
        <f>IF(Req2!AD90=0,"",Req0!AD90/Req2!AD90)</f>
        <v>25.587604405286342</v>
      </c>
      <c r="AE30" s="112">
        <f>IF(Req2!AE90=0,"",Req0!AE90/Req2!AE90)</f>
        <v>25.50136422413793</v>
      </c>
      <c r="AF30" s="112">
        <f>IF(Req2!AF90=0,"",Req0!AF90/Req2!AF90)</f>
        <v>26.79540612244898</v>
      </c>
      <c r="AG30" s="112">
        <f>IF(Req2!AG90=0,"",Req0!AG90/Req2!AG90)</f>
        <v>26.005937007874014</v>
      </c>
      <c r="AH30" s="112">
        <f>IF(Req2!AH90=0,"",Req0!AH90/Req2!AH90)</f>
        <v>24.40669886363636</v>
      </c>
      <c r="AI30" s="112">
        <f>IF(Req2!AI90=0,"",Req0!AI90/Req2!AI90)</f>
        <v>25.927940273037542</v>
      </c>
    </row>
    <row r="31" spans="2:35" ht="25.5">
      <c r="B31" s="101" t="s">
        <v>24</v>
      </c>
      <c r="C31" s="112">
        <f>IF(Req2!C91=0,"",Req0!C91/Req2!C91)</f>
        <v>39.05079466357309</v>
      </c>
      <c r="D31" s="112">
        <f>IF(Req2!D91=0,"",Req0!D91/Req2!D91)</f>
        <v>41.305617296222664</v>
      </c>
      <c r="E31" s="112">
        <f>IF(Req2!E91=0,"",Req0!E91/Req2!E91)</f>
        <v>42.224072984749455</v>
      </c>
      <c r="F31" s="112">
        <f>IF(Req2!F91=0,"",Req0!F91/Req2!F91)</f>
        <v>37.8769121756487</v>
      </c>
      <c r="G31" s="112">
        <f>IF(Req2!G91=0,"",Req0!G91/Req2!G91)</f>
        <v>39.24608282208589</v>
      </c>
      <c r="H31" s="112">
        <f>IF(Req2!H91=0,"",Req0!H91/Req2!H91)</f>
        <v>39.398251028806584</v>
      </c>
      <c r="I31" s="112">
        <f>IF(Req2!I91=0,"",Req0!I91/Req2!I91)</f>
        <v>38.93983798882682</v>
      </c>
      <c r="J31" s="112">
        <f>IF(Req2!J91=0,"",Req0!J91/Req2!J91)</f>
        <v>40.432837121212124</v>
      </c>
      <c r="K31" s="112">
        <f>IF(Req2!K91=0,"",Req0!K91/Req2!K91)</f>
        <v>39.049684456928844</v>
      </c>
      <c r="L31" s="112">
        <f>IF(Req2!L91=0,"",Req0!L91/Req2!L91)</f>
        <v>38.33280192307692</v>
      </c>
      <c r="M31" s="112">
        <f>IF(Req2!M91=0,"",Req0!M91/Req2!M91)</f>
        <v>39.169367875647666</v>
      </c>
      <c r="N31" s="112">
        <f>IF(Req2!N91=0,"",Req0!N91/Req2!N91)</f>
        <v>39.42743727272727</v>
      </c>
      <c r="O31" s="112">
        <f>IF(Req2!O91=0,"",Req0!O91/Req2!O91)</f>
        <v>39.218039543058</v>
      </c>
      <c r="P31" s="112">
        <f>IF(Req2!P91=0,"",Req0!P91/Req2!P91)</f>
        <v>40.014031992687386</v>
      </c>
      <c r="Q31" s="112">
        <f>IF(Req2!Q91=0,"",Req0!Q91/Req2!Q91)</f>
        <v>39.1362969924812</v>
      </c>
      <c r="R31" s="112">
        <f>IF(Req2!R91=0,"",Req0!R91/Req2!R91)</f>
        <v>40.82523217550274</v>
      </c>
      <c r="S31" s="112">
        <f>IF(Req2!S91=0,"",Req0!S91/Req2!S91)</f>
        <v>40.84804127579738</v>
      </c>
      <c r="T31" s="112">
        <f>IF(Req2!T91=0,"",Req0!T91/Req2!T91)</f>
        <v>40.247693761814745</v>
      </c>
      <c r="U31" s="112">
        <f>IF(Req2!U91=0,"",Req0!U91/Req2!U91)</f>
        <v>39.24675219683655</v>
      </c>
      <c r="V31" s="112">
        <f>IF(Req2!V91=0,"",Req0!V91/Req2!V91)</f>
        <v>41.87997951582867</v>
      </c>
      <c r="W31" s="112">
        <f>IF(Req2!W91=0,"",Req0!W91/Req2!W91)</f>
        <v>39.934082867783985</v>
      </c>
      <c r="X31" s="112">
        <f>IF(Req2!X91=0,"",Req0!X91/Req2!X91)</f>
        <v>40.89921063394683</v>
      </c>
      <c r="Y31" s="112">
        <f>IF(Req2!Y91=0,"",Req0!Y91/Req2!Y91)</f>
        <v>42.76292193675889</v>
      </c>
      <c r="Z31" s="112">
        <f>IF(Req2!Z91=0,"",Req0!Z91/Req2!Z91)</f>
        <v>41.99771518987342</v>
      </c>
      <c r="AA31" s="112">
        <f>IF(Req2!AA91=0,"",Req0!AA91/Req2!AA91)</f>
        <v>40.79409681372549</v>
      </c>
      <c r="AB31" s="112">
        <f>IF(Req2!AB91=0,"",Req0!AB91/Req2!AB91)</f>
        <v>38.30789267015707</v>
      </c>
      <c r="AC31" s="112">
        <f>IF(Req2!AC91=0,"",Req0!AC91/Req2!AC91)</f>
        <v>36.30150154798762</v>
      </c>
      <c r="AD31" s="112">
        <f>IF(Req2!AD91=0,"",Req0!AD91/Req2!AD91)</f>
        <v>36.286634897360706</v>
      </c>
      <c r="AE31" s="112">
        <f>IF(Req2!AE91=0,"",Req0!AE91/Req2!AE91)</f>
        <v>34.11982747603834</v>
      </c>
      <c r="AF31" s="112">
        <f>IF(Req2!AF91=0,"",Req0!AF91/Req2!AF91)</f>
        <v>33.00115299684543</v>
      </c>
      <c r="AG31" s="112">
        <f>IF(Req2!AG91=0,"",Req0!AG91/Req2!AG91)</f>
        <v>31.29265780730897</v>
      </c>
      <c r="AH31" s="112">
        <f>IF(Req2!AH91=0,"",Req0!AH91/Req2!AH91)</f>
        <v>33.446876425855514</v>
      </c>
      <c r="AI31" s="112">
        <f>IF(Req2!AI91=0,"",Req0!AI91/Req2!AI91)</f>
        <v>35.17925266903915</v>
      </c>
    </row>
    <row r="32" spans="2:35" ht="25.5">
      <c r="B32" s="101" t="s">
        <v>25</v>
      </c>
      <c r="C32" s="112">
        <f>IF(Req2!C92=0,"",Req0!C92/Req2!C92)</f>
        <v>22.50317717717718</v>
      </c>
      <c r="D32" s="112">
        <f>IF(Req2!D92=0,"",Req0!D92/Req2!D92)</f>
        <v>23.56681723237598</v>
      </c>
      <c r="E32" s="112">
        <f>IF(Req2!E92=0,"",Req0!E92/Req2!E92)</f>
        <v>25.01091993957704</v>
      </c>
      <c r="F32" s="112">
        <f>IF(Req2!F92=0,"",Req0!F92/Req2!F92)</f>
        <v>23.47976867816092</v>
      </c>
      <c r="G32" s="112">
        <f>IF(Req2!G92=0,"",Req0!G92/Req2!G92)</f>
        <v>23.228356940509915</v>
      </c>
      <c r="H32" s="112">
        <f>IF(Req2!H92=0,"",Req0!H92/Req2!H92)</f>
        <v>23.513556818181822</v>
      </c>
      <c r="I32" s="112">
        <f>IF(Req2!I92=0,"",Req0!I92/Req2!I92)</f>
        <v>22.983387671232876</v>
      </c>
      <c r="J32" s="112">
        <f>IF(Req2!J92=0,"",Req0!J92/Req2!J92)</f>
        <v>23.664891364902505</v>
      </c>
      <c r="K32" s="112">
        <f>IF(Req2!K92=0,"",Req0!K92/Req2!K92)</f>
        <v>23.433779635258357</v>
      </c>
      <c r="L32" s="112">
        <f>IF(Req2!L92=0,"",Req0!L92/Req2!L92)</f>
        <v>24.07569691780822</v>
      </c>
      <c r="M32" s="112">
        <f>IF(Req2!M92=0,"",Req0!M92/Req2!M92)</f>
        <v>23.79653125</v>
      </c>
      <c r="N32" s="112">
        <f>IF(Req2!N92=0,"",Req0!N92/Req2!N92)</f>
        <v>24.245122699386503</v>
      </c>
      <c r="O32" s="112">
        <f>IF(Req2!O92=0,"",Req0!O92/Req2!O92)</f>
        <v>24.51766012084592</v>
      </c>
      <c r="P32" s="112">
        <f>IF(Req2!P92=0,"",Req0!P92/Req2!P92)</f>
        <v>23.100474702380954</v>
      </c>
      <c r="Q32" s="112">
        <f>IF(Req2!Q92=0,"",Req0!Q92/Req2!Q92)</f>
        <v>22.914790372670808</v>
      </c>
      <c r="R32" s="112">
        <f>IF(Req2!R92=0,"",Req0!R92/Req2!R92)</f>
        <v>23.469341389728097</v>
      </c>
      <c r="S32" s="112">
        <f>IF(Req2!S92=0,"",Req0!S92/Req2!S92)</f>
        <v>22.760877551020407</v>
      </c>
      <c r="T32" s="112">
        <f>IF(Req2!T92=0,"",Req0!T92/Req2!T92)</f>
        <v>21.991958333333333</v>
      </c>
      <c r="U32" s="112">
        <f>IF(Req2!U92=0,"",Req0!U92/Req2!U92)</f>
        <v>23.437486486486485</v>
      </c>
      <c r="V32" s="112">
        <f>IF(Req2!V92=0,"",Req0!V92/Req2!V92)</f>
        <v>22.46157142857143</v>
      </c>
      <c r="W32" s="112">
        <f>IF(Req2!W92=0,"",Req0!W92/Req2!W92)</f>
        <v>23.69532006369427</v>
      </c>
      <c r="X32" s="112">
        <f>IF(Req2!X92=0,"",Req0!X92/Req2!X92)</f>
        <v>22.15758</v>
      </c>
      <c r="Y32" s="112">
        <f>IF(Req2!Y92=0,"",Req0!Y92/Req2!Y92)</f>
        <v>23.393476923076925</v>
      </c>
      <c r="Z32" s="112">
        <f>IF(Req2!Z92=0,"",Req0!Z92/Req2!Z92)</f>
        <v>22.802137288135594</v>
      </c>
      <c r="AA32" s="112">
        <f>IF(Req2!AA92=0,"",Req0!AA92/Req2!AA92)</f>
        <v>22.5731078125</v>
      </c>
      <c r="AB32" s="112">
        <f>IF(Req2!AB92=0,"",Req0!AB92/Req2!AB92)</f>
        <v>23.9059222972973</v>
      </c>
      <c r="AC32" s="112">
        <f>IF(Req2!AC92=0,"",Req0!AC92/Req2!AC92)</f>
        <v>22.757406137184113</v>
      </c>
      <c r="AD32" s="112">
        <f>IF(Req2!AD92=0,"",Req0!AD92/Req2!AD92)</f>
        <v>22.499025684931507</v>
      </c>
      <c r="AE32" s="112">
        <f>IF(Req2!AE92=0,"",Req0!AE92/Req2!AE92)</f>
        <v>21.806870242214533</v>
      </c>
      <c r="AF32" s="112">
        <f>IF(Req2!AF92=0,"",Req0!AF92/Req2!AF92)</f>
        <v>22.599759615384617</v>
      </c>
      <c r="AG32" s="112">
        <f>IF(Req2!AG92=0,"",Req0!AG92/Req2!AG92)</f>
        <v>21.773462199312714</v>
      </c>
      <c r="AH32" s="112">
        <f>IF(Req2!AH92=0,"",Req0!AH92/Req2!AH92)</f>
        <v>21.55058510638298</v>
      </c>
      <c r="AI32" s="112">
        <f>IF(Req2!AI92=0,"",Req0!AI92/Req2!AI92)</f>
        <v>23.11421186440678</v>
      </c>
    </row>
    <row r="33" spans="2:35" ht="25.5">
      <c r="B33" s="101" t="s">
        <v>26</v>
      </c>
      <c r="C33" s="112">
        <f>IF(Req2!C93=0,"",Req0!C93/Req2!C93)</f>
        <v>14.889932432432433</v>
      </c>
      <c r="D33" s="112">
        <f>IF(Req2!D93=0,"",Req0!D93/Req2!D93)</f>
        <v>14.197020979020978</v>
      </c>
      <c r="E33" s="112">
        <f>IF(Req2!E93=0,"",Req0!E93/Req2!E93)</f>
        <v>13.457471014492754</v>
      </c>
      <c r="F33" s="112">
        <f>IF(Req2!F93=0,"",Req0!F93/Req2!F93)</f>
        <v>15.85219090909091</v>
      </c>
      <c r="G33" s="112">
        <f>IF(Req2!G93=0,"",Req0!G93/Req2!G93)</f>
        <v>14.137723076923077</v>
      </c>
      <c r="H33" s="112">
        <f>IF(Req2!H93=0,"",Req0!H93/Req2!H93)</f>
        <v>15.394857142857143</v>
      </c>
      <c r="I33" s="112">
        <f>IF(Req2!I93=0,"",Req0!I93/Req2!I93)</f>
        <v>14.826073170731707</v>
      </c>
      <c r="J33" s="112">
        <f>IF(Req2!J93=0,"",Req0!J93/Req2!J93)</f>
        <v>14.9787265625</v>
      </c>
      <c r="K33" s="112">
        <f>IF(Req2!K93=0,"",Req0!K93/Req2!K93)</f>
        <v>14.7645</v>
      </c>
      <c r="L33" s="112">
        <f>IF(Req2!L93=0,"",Req0!L93/Req2!L93)</f>
        <v>14.57809649122807</v>
      </c>
      <c r="M33" s="112">
        <f>IF(Req2!M93=0,"",Req0!M93/Req2!M93)</f>
        <v>16.360915254237288</v>
      </c>
      <c r="N33" s="112">
        <f>IF(Req2!N93=0,"",Req0!N93/Req2!N93)</f>
        <v>15.964906542056074</v>
      </c>
      <c r="O33" s="112">
        <f>IF(Req2!O93=0,"",Req0!O93/Req2!O93)</f>
        <v>15.676978632478633</v>
      </c>
      <c r="P33" s="112">
        <f>IF(Req2!P93=0,"",Req0!P93/Req2!P93)</f>
        <v>15.70837610619469</v>
      </c>
      <c r="Q33" s="112">
        <f>IF(Req2!Q93=0,"",Req0!Q93/Req2!Q93)</f>
        <v>15.847796116504854</v>
      </c>
      <c r="R33" s="112">
        <f>IF(Req2!R93=0,"",Req0!R93/Req2!R93)</f>
        <v>15.09055701754386</v>
      </c>
      <c r="S33" s="112">
        <f>IF(Req2!S93=0,"",Req0!S93/Req2!S93)</f>
        <v>14.827601694915254</v>
      </c>
      <c r="T33" s="112">
        <f>IF(Req2!T93=0,"",Req0!T93/Req2!T93)</f>
        <v>14.378487603305786</v>
      </c>
      <c r="U33" s="112">
        <f>IF(Req2!U93=0,"",Req0!U93/Req2!U93)</f>
        <v>15.485085585585585</v>
      </c>
      <c r="V33" s="112">
        <f>IF(Req2!V93=0,"",Req0!V93/Req2!V93)</f>
        <v>15.124382608695653</v>
      </c>
      <c r="W33" s="112">
        <f>IF(Req2!W93=0,"",Req0!W93/Req2!W93)</f>
        <v>14.970766666666666</v>
      </c>
      <c r="X33" s="112">
        <f>IF(Req2!X93=0,"",Req0!X93/Req2!X93)</f>
        <v>13.903060747663552</v>
      </c>
      <c r="Y33" s="112">
        <f>IF(Req2!Y93=0,"",Req0!Y93/Req2!Y93)</f>
        <v>15.451547008547008</v>
      </c>
      <c r="Z33" s="112">
        <f>IF(Req2!Z93=0,"",Req0!Z93/Req2!Z93)</f>
        <v>14.462960396039604</v>
      </c>
      <c r="AA33" s="112">
        <f>IF(Req2!AA93=0,"",Req0!AA93/Req2!AA93)</f>
        <v>15.747557692307693</v>
      </c>
      <c r="AB33" s="112">
        <f>IF(Req2!AB93=0,"",Req0!AB93/Req2!AB93)</f>
        <v>15.86814953271028</v>
      </c>
      <c r="AC33" s="112">
        <f>IF(Req2!AC93=0,"",Req0!AC93/Req2!AC93)</f>
        <v>15.70781914893617</v>
      </c>
      <c r="AD33" s="112">
        <f>IF(Req2!AD93=0,"",Req0!AD93/Req2!AD93)</f>
        <v>16.005747572815533</v>
      </c>
      <c r="AE33" s="112">
        <f>IF(Req2!AE93=0,"",Req0!AE93/Req2!AE93)</f>
        <v>15.98316489361702</v>
      </c>
      <c r="AF33" s="112">
        <f>IF(Req2!AF93=0,"",Req0!AF93/Req2!AF93)</f>
        <v>15.752745283018868</v>
      </c>
      <c r="AG33" s="112">
        <f>IF(Req2!AG93=0,"",Req0!AG93/Req2!AG93)</f>
        <v>14.389437500000001</v>
      </c>
      <c r="AH33" s="112">
        <f>IF(Req2!AH93=0,"",Req0!AH93/Req2!AH93)</f>
        <v>16.33547191011236</v>
      </c>
      <c r="AI33" s="112">
        <f>IF(Req2!AI93=0,"",Req0!AI93/Req2!AI93)</f>
        <v>16.621495</v>
      </c>
    </row>
    <row r="34" spans="2:35" ht="38.25">
      <c r="B34" s="101" t="s">
        <v>107</v>
      </c>
      <c r="C34" s="112">
        <f>IF(Req2!C94=0,"",Req0!C94/Req2!C94)</f>
      </c>
      <c r="D34" s="112">
        <f>IF(Req2!D94=0,"",Req0!D94/Req2!D94)</f>
      </c>
      <c r="E34" s="112">
        <f>IF(Req2!E94=0,"",Req0!E94/Req2!E94)</f>
      </c>
      <c r="F34" s="112">
        <f>IF(Req2!F94=0,"",Req0!F94/Req2!F94)</f>
      </c>
      <c r="G34" s="112">
        <f>IF(Req2!G94=0,"",Req0!G94/Req2!G94)</f>
      </c>
      <c r="H34" s="112">
        <f>IF(Req2!H94=0,"",Req0!H94/Req2!H94)</f>
      </c>
      <c r="I34" s="112">
        <f>IF(Req2!I94=0,"",Req0!I94/Req2!I94)</f>
      </c>
      <c r="J34" s="112">
        <f>IF(Req2!J94=0,"",Req0!J94/Req2!J94)</f>
      </c>
      <c r="K34" s="112">
        <f>IF(Req2!K94=0,"",Req0!K94/Req2!K94)</f>
      </c>
      <c r="L34" s="112">
        <f>IF(Req2!L94=0,"",Req0!L94/Req2!L94)</f>
      </c>
      <c r="M34" s="112">
        <f>IF(Req2!M94=0,"",Req0!M94/Req2!M94)</f>
      </c>
      <c r="N34" s="112">
        <f>IF(Req2!N94=0,"",Req0!N94/Req2!N94)</f>
      </c>
      <c r="O34" s="112">
        <f>IF(Req2!O94=0,"",Req0!O94/Req2!O94)</f>
      </c>
      <c r="P34" s="112">
        <f>IF(Req2!P94=0,"",Req0!P94/Req2!P94)</f>
      </c>
      <c r="Q34" s="112">
        <f>IF(Req2!Q94=0,"",Req0!Q94/Req2!Q94)</f>
      </c>
      <c r="R34" s="112">
        <f>IF(Req2!R94=0,"",Req0!R94/Req2!R94)</f>
      </c>
      <c r="S34" s="112">
        <f>IF(Req2!S94=0,"",Req0!S94/Req2!S94)</f>
      </c>
      <c r="T34" s="112">
        <f>IF(Req2!T94=0,"",Req0!T94/Req2!T94)</f>
      </c>
      <c r="U34" s="112">
        <f>IF(Req2!U94=0,"",Req0!U94/Req2!U94)</f>
      </c>
      <c r="V34" s="112">
        <f>IF(Req2!V94=0,"",Req0!V94/Req2!V94)</f>
      </c>
      <c r="W34" s="112">
        <f>IF(Req2!W94=0,"",Req0!W94/Req2!W94)</f>
      </c>
      <c r="X34" s="112">
        <f>IF(Req2!X94=0,"",Req0!X94/Req2!X94)</f>
      </c>
      <c r="Y34" s="112">
        <f>IF(Req2!Y94=0,"",Req0!Y94/Req2!Y94)</f>
      </c>
      <c r="Z34" s="112">
        <f>IF(Req2!Z94=0,"",Req0!Z94/Req2!Z94)</f>
      </c>
      <c r="AA34" s="112">
        <f>IF(Req2!AA94=0,"",Req0!AA94/Req2!AA94)</f>
      </c>
      <c r="AB34" s="112">
        <f>IF(Req2!AB94=0,"",Req0!AB94/Req2!AB94)</f>
      </c>
      <c r="AC34" s="112">
        <f>IF(Req2!AC94=0,"",Req0!AC94/Req2!AC94)</f>
      </c>
      <c r="AD34" s="112">
        <f>IF(Req2!AD94=0,"",Req0!AD94/Req2!AD94)</f>
      </c>
      <c r="AE34" s="112">
        <f>IF(Req2!AE94=0,"",Req0!AE94/Req2!AE94)</f>
      </c>
      <c r="AF34" s="112">
        <f>IF(Req2!AF94=0,"",Req0!AF94/Req2!AF94)</f>
      </c>
      <c r="AG34" s="112">
        <f>IF(Req2!AG94=0,"",Req0!AG94/Req2!AG94)</f>
      </c>
      <c r="AH34" s="112">
        <f>IF(Req2!AH94=0,"",Req0!AH94/Req2!AH94)</f>
      </c>
      <c r="AI34" s="112">
        <f>IF(Req2!AI94=0,"",Req0!AI94/Req2!AI94)</f>
        <v>35.049</v>
      </c>
    </row>
    <row r="35" spans="2:35" ht="12.75"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</row>
    <row r="36" spans="2:35" ht="26.25" thickBot="1">
      <c r="B36" s="46" t="s">
        <v>0</v>
      </c>
      <c r="C36" s="47">
        <v>38108</v>
      </c>
      <c r="D36" s="47">
        <v>38139</v>
      </c>
      <c r="E36" s="47">
        <v>38169</v>
      </c>
      <c r="F36" s="47">
        <v>38200</v>
      </c>
      <c r="G36" s="47">
        <v>38231</v>
      </c>
      <c r="H36" s="47">
        <v>38261</v>
      </c>
      <c r="I36" s="47">
        <v>38292</v>
      </c>
      <c r="J36" s="47">
        <v>38322</v>
      </c>
      <c r="K36" s="47">
        <v>38353</v>
      </c>
      <c r="L36" s="47">
        <v>38384</v>
      </c>
      <c r="M36" s="47">
        <v>38412</v>
      </c>
      <c r="N36" s="47">
        <v>38443</v>
      </c>
      <c r="O36" s="47">
        <v>38473</v>
      </c>
      <c r="P36" s="47">
        <v>38504</v>
      </c>
      <c r="Q36" s="47">
        <v>38534</v>
      </c>
      <c r="R36" s="47">
        <v>38565</v>
      </c>
      <c r="S36" s="47">
        <v>38596</v>
      </c>
      <c r="T36" s="47">
        <v>38626</v>
      </c>
      <c r="U36" s="47">
        <v>38657</v>
      </c>
      <c r="V36" s="47">
        <v>38687</v>
      </c>
      <c r="W36" s="47">
        <v>38718</v>
      </c>
      <c r="X36" s="47">
        <v>38749</v>
      </c>
      <c r="Y36" s="47">
        <v>38777</v>
      </c>
      <c r="Z36" s="47">
        <v>38808</v>
      </c>
      <c r="AA36" s="47">
        <v>38838</v>
      </c>
      <c r="AB36" s="47">
        <v>38869</v>
      </c>
      <c r="AC36" s="47">
        <v>38899</v>
      </c>
      <c r="AD36" s="47">
        <v>38930</v>
      </c>
      <c r="AE36" s="47">
        <v>38961</v>
      </c>
      <c r="AF36" s="47">
        <v>38991</v>
      </c>
      <c r="AG36" s="47">
        <v>39022</v>
      </c>
      <c r="AH36" s="47">
        <v>39052</v>
      </c>
      <c r="AI36" s="47">
        <v>39083</v>
      </c>
    </row>
    <row r="37" spans="2:35" ht="13.5" thickTop="1">
      <c r="B37" s="40" t="s">
        <v>27</v>
      </c>
      <c r="C37" s="113">
        <f>(Req0!C66+Req0!C67+Req0!C68+Req0!C69)/(Req2!C66+Req2!C67+Req2!C68+Req2!C69)</f>
        <v>73.34842160278745</v>
      </c>
      <c r="D37" s="113">
        <f>(Req0!D66+Req0!D67+Req0!D68+Req0!D69)/(Req2!D66+Req2!D67+Req2!D68+Req2!D69)</f>
        <v>83.5266572519084</v>
      </c>
      <c r="E37" s="113">
        <f>(Req0!E66+Req0!E67+Req0!E68+Req0!E69)/(Req2!E66+Req2!E67+Req2!E68+Req2!E69)</f>
        <v>78.14497580645161</v>
      </c>
      <c r="F37" s="113">
        <f>(Req0!F66+Req0!F67+Req0!F68+Req0!F69)/(Req2!F66+Req2!F67+Req2!F68+Req2!F69)</f>
        <v>79.28948177496038</v>
      </c>
      <c r="G37" s="113">
        <f>(Req0!G66+Req0!G67+Req0!G68+Req0!G69)/(Req2!G66+Req2!G67+Req2!G68+Req2!G69)</f>
        <v>80.7320065681445</v>
      </c>
      <c r="H37" s="113">
        <f>(Req0!H66+Req0!H67+Req0!H68+Req0!H69)/(Req2!H66+Req2!H67+Req2!H68+Req2!H69)</f>
        <v>78.8623821603928</v>
      </c>
      <c r="I37" s="113">
        <f>(Req0!I66+Req0!I67+Req0!I68+Req0!I69)/(Req2!I66+Req2!I67+Req2!I68+Req2!I69)</f>
        <v>81.30204784688995</v>
      </c>
      <c r="J37" s="113">
        <f>(Req0!J66+Req0!J67+Req0!J68+Req0!J69)/(Req2!J66+Req2!J67+Req2!J68+Req2!J69)</f>
        <v>84.29498635634029</v>
      </c>
      <c r="K37" s="113">
        <f>(Req0!K66+Req0!K67+Req0!K68+Req0!K69)/(Req2!K66+Req2!K67+Req2!K68+Req2!K69)</f>
        <v>83.92264502529511</v>
      </c>
      <c r="L37" s="113">
        <f>(Req0!L66+Req0!L67+Req0!L68+Req0!L69)/(Req2!L66+Req2!L67+Req2!L68+Req2!L69)</f>
        <v>79.73666550522648</v>
      </c>
      <c r="M37" s="113">
        <f>(Req0!M66+Req0!M67+Req0!M68+Req0!M69)/(Req2!M66+Req2!M67+Req2!M68+Req2!M69)</f>
        <v>84.44084984276729</v>
      </c>
      <c r="N37" s="113">
        <f>(Req0!N66+Req0!N67+Req0!N68+Req0!N69)/(Req2!N66+Req2!N67+Req2!N68+Req2!N69)</f>
        <v>80.0708125</v>
      </c>
      <c r="O37" s="113">
        <f>(Req0!O66+Req0!O67+Req0!O68+Req0!O69)/(Req2!O66+Req2!O67+Req2!O68+Req2!O69)</f>
        <v>78.03910229007633</v>
      </c>
      <c r="P37" s="113">
        <f>(Req0!P66+Req0!P67+Req0!P68+Req0!P69)/(Req2!P66+Req2!P67+Req2!P68+Req2!P69)</f>
        <v>70.57667665130568</v>
      </c>
      <c r="Q37" s="113">
        <f>(Req0!Q66+Req0!Q67+Req0!Q68+Req0!Q69)/(Req2!Q66+Req2!Q67+Req2!Q68+Req2!Q69)</f>
        <v>65.62227039274924</v>
      </c>
      <c r="R37" s="113">
        <f>(Req0!R66+Req0!R67+Req0!R68+Req0!R69)/(Req2!R66+Req2!R67+Req2!R68+Req2!R69)</f>
        <v>67.35428714285715</v>
      </c>
      <c r="S37" s="113">
        <f>(Req0!S66+Req0!S67+Req0!S68+Req0!S69)/(Req2!S66+Req2!S67+Req2!S68+Req2!S69)</f>
        <v>66.15705869565217</v>
      </c>
      <c r="T37" s="113">
        <f>(Req0!T66+Req0!T67+Req0!T68+Req0!T69)/(Req2!T66+Req2!T67+Req2!T68+Req2!T69)</f>
        <v>67.01508345752607</v>
      </c>
      <c r="U37" s="113">
        <f>(Req0!U66+Req0!U67+Req0!U68+Req0!U69)/(Req2!U66+Req2!U67+Req2!U68+Req2!U69)</f>
        <v>65.23651292517006</v>
      </c>
      <c r="V37" s="113">
        <f>(Req0!V66+Req0!V67+Req0!V68+Req0!V69)/(Req2!V66+Req2!V67+Req2!V68+Req2!V69)</f>
        <v>64.81292734478204</v>
      </c>
      <c r="W37" s="113">
        <f>(Req0!W66+Req0!W67+Req0!W68+Req0!W69)/(Req2!W66+Req2!W67+Req2!W68+Req2!W69)</f>
        <v>64.02918406593406</v>
      </c>
      <c r="X37" s="113">
        <f>(Req0!X66+Req0!X67+Req0!X68+Req0!X69)/(Req2!X66+Req2!X67+Req2!X68+Req2!X69)</f>
        <v>61.69462926136364</v>
      </c>
      <c r="Y37" s="113">
        <f>(Req0!Y66+Req0!Y67+Req0!Y68+Req0!Y69)/(Req2!Y66+Req2!Y67+Req2!Y68+Req2!Y69)</f>
        <v>64.61403422818792</v>
      </c>
      <c r="Z37" s="113">
        <f>(Req0!Z66+Req0!Z67+Req0!Z68+Req0!Z69)/(Req2!Z66+Req2!Z67+Req2!Z68+Req2!Z69)</f>
        <v>61.87506851311953</v>
      </c>
      <c r="AA37" s="113">
        <f>(Req0!AA66+Req0!AA67+Req0!AA68+Req0!AA69)/(Req2!AA66+Req2!AA67+Req2!AA68+Req2!AA69)</f>
        <v>63.04326013071895</v>
      </c>
      <c r="AB37" s="113">
        <f>(Req0!AB66+Req0!AB67+Req0!AB68+Req0!AB69)/(Req2!AB66+Req2!AB67+Req2!AB68+Req2!AB69)</f>
        <v>62.371211796246655</v>
      </c>
      <c r="AC37" s="113">
        <f>(Req0!AC66+Req0!AC67+Req0!AC68+Req0!AC69)/(Req2!AC66+Req2!AC67+Req2!AC68+Req2!AC69)</f>
        <v>61.241196866485005</v>
      </c>
      <c r="AD37" s="113">
        <f>(Req0!AD66+Req0!AD67+Req0!AD68+Req0!AD69)/(Req2!AD66+Req2!AD67+Req2!AD68+Req2!AD69)</f>
        <v>63.6681043956044</v>
      </c>
      <c r="AE37" s="113">
        <f>(Req0!AE66+Req0!AE67+Req0!AE68+Req0!AE69)/(Req2!AE66+Req2!AE67+Req2!AE68+Req2!AE69)</f>
        <v>62.49683751743376</v>
      </c>
      <c r="AF37" s="113">
        <f>(Req0!AF66+Req0!AF67+Req0!AF68+Req0!AF69)/(Req2!AF66+Req2!AF67+Req2!AF68+Req2!AF69)</f>
        <v>65.9473869448183</v>
      </c>
      <c r="AG37" s="113">
        <f>(Req0!AG66+Req0!AG67+Req0!AG68+Req0!AG69)/(Req2!AG66+Req2!AG67+Req2!AG68+Req2!AG69)</f>
        <v>63.94992510402219</v>
      </c>
      <c r="AH37" s="113">
        <f>(Req0!AH66+Req0!AH67+Req0!AH68+Req0!AH69)/(Req2!AH66+Req2!AH67+Req2!AH68+Req2!AH69)</f>
        <v>61.41012068965517</v>
      </c>
      <c r="AI37" s="113">
        <f>(Req0!AI66+Req0!AI67+Req0!AI68+Req0!AI69)/(Req2!AI66+Req2!AI67+Req2!AI68+Req2!AI69)</f>
        <v>64.64016174582798</v>
      </c>
    </row>
    <row r="38" spans="2:35" ht="12.75">
      <c r="B38" s="33" t="s">
        <v>28</v>
      </c>
      <c r="C38" s="114">
        <f>(Req0!C69+Req0!C70+Req0!C71)/(Req2!C69+Req2!C70+Req2!C71)</f>
        <v>79.38766949872559</v>
      </c>
      <c r="D38" s="114">
        <f>(Req0!D69+Req0!D70+Req0!D71)/(Req2!D69+Req2!D70+Req2!D71)</f>
        <v>87.33107572298324</v>
      </c>
      <c r="E38" s="114">
        <f>(Req0!E69+Req0!E70+Req0!E71)/(Req2!E69+Req2!E70+Req2!E71)</f>
        <v>80.75001209372638</v>
      </c>
      <c r="F38" s="114">
        <f>(Req0!F69+Req0!F70+Req0!F71)/(Req2!F69+Req2!F70+Req2!F71)</f>
        <v>83.12281975403535</v>
      </c>
      <c r="G38" s="114">
        <f>(Req0!G69+Req0!G70+Req0!G71)/(Req2!G69+Req2!G70+Req2!G71)</f>
        <v>85.80893957345971</v>
      </c>
      <c r="H38" s="114">
        <f>(Req0!H69+Req0!H70+Req0!H71)/(Req2!H69+Req2!H70+Req2!H71)</f>
        <v>84.17873906369915</v>
      </c>
      <c r="I38" s="114">
        <f>(Req0!I69+Req0!I70+Req0!I71)/(Req2!I69+Req2!I70+Req2!I71)</f>
        <v>82.81840357925493</v>
      </c>
      <c r="J38" s="114">
        <f>(Req0!J69+Req0!J70+Req0!J71)/(Req2!J69+Req2!J70+Req2!J71)</f>
        <v>84.75246313868612</v>
      </c>
      <c r="K38" s="114">
        <f>(Req0!K69+Req0!K70+Req0!K71)/(Req2!K69+Req2!K70+Req2!K71)</f>
        <v>85.56942942494399</v>
      </c>
      <c r="L38" s="114">
        <f>(Req0!L69+Req0!L70+Req0!L71)/(Req2!L69+Req2!L70+Req2!L71)</f>
        <v>85.01281565865781</v>
      </c>
      <c r="M38" s="114">
        <f>(Req0!M69+Req0!M70+Req0!M71)/(Req2!M69+Req2!M70+Req2!M71)</f>
        <v>90.03934978386167</v>
      </c>
      <c r="N38" s="114">
        <f>(Req0!N69+Req0!N70+Req0!N71)/(Req2!N69+Req2!N70+Req2!N71)</f>
        <v>88.87851592115238</v>
      </c>
      <c r="O38" s="114">
        <f>(Req0!O69+Req0!O70+Req0!O71)/(Req2!O69+Req2!O70+Req2!O71)</f>
        <v>90.58206198960654</v>
      </c>
      <c r="P38" s="114">
        <f>(Req0!P69+Req0!P70+Req0!P71)/(Req2!P69+Req2!P70+Req2!P71)</f>
        <v>88.32824943988051</v>
      </c>
      <c r="Q38" s="114">
        <f>(Req0!Q69+Req0!Q70+Req0!Q71)/(Req2!Q69+Req2!Q70+Req2!Q71)</f>
        <v>87.32422432859398</v>
      </c>
      <c r="R38" s="114">
        <f>(Req0!R69+Req0!R70+Req0!R71)/(Req2!R69+Req2!R70+Req2!R71)</f>
        <v>93.59092253521126</v>
      </c>
      <c r="S38" s="114">
        <f>(Req0!S69+Req0!S70+Req0!S71)/(Req2!S69+Req2!S70+Req2!S71)</f>
        <v>94.59238056680162</v>
      </c>
      <c r="T38" s="114">
        <f>(Req0!T69+Req0!T70+Req0!T71)/(Req2!T69+Req2!T70+Req2!T71)</f>
        <v>92.44343322341302</v>
      </c>
      <c r="U38" s="114">
        <f>(Req0!U69+Req0!U70+Req0!U71)/(Req2!U69+Req2!U70+Req2!U71)</f>
        <v>92.93309384984026</v>
      </c>
      <c r="V38" s="114">
        <f>(Req0!V69+Req0!V70+Req0!V71)/(Req2!V69+Req2!V70+Req2!V71)</f>
        <v>93.17259683794465</v>
      </c>
      <c r="W38" s="114">
        <f>(Req0!W69+Req0!W70+Req0!W71)/(Req2!W69+Req2!W70+Req2!W71)</f>
        <v>92.90747192839707</v>
      </c>
      <c r="X38" s="114">
        <f>(Req0!X69+Req0!X70+Req0!X71)/(Req2!X69+Req2!X70+Req2!X71)</f>
        <v>90.23776529756915</v>
      </c>
      <c r="Y38" s="114">
        <f>(Req0!Y69+Req0!Y70+Req0!Y71)/(Req2!Y69+Req2!Y70+Req2!Y71)</f>
        <v>95.11332619240098</v>
      </c>
      <c r="Z38" s="114">
        <f>(Req0!Z69+Req0!Z70+Req0!Z71)/(Req2!Z69+Req2!Z70+Req2!Z71)</f>
        <v>93.36715045045045</v>
      </c>
      <c r="AA38" s="114">
        <f>(Req0!AA69+Req0!AA70+Req0!AA71)/(Req2!AA69+Req2!AA70+Req2!AA71)</f>
        <v>96.2890505756579</v>
      </c>
      <c r="AB38" s="114">
        <f>(Req0!AB69+Req0!AB70+Req0!AB71)/(Req2!AB69+Req2!AB70+Req2!AB71)</f>
        <v>99.49339443961772</v>
      </c>
      <c r="AC38" s="114">
        <f>(Req0!AC69+Req0!AC70+Req0!AC71)/(Req2!AC69+Req2!AC70+Req2!AC71)</f>
        <v>90.21481323132313</v>
      </c>
      <c r="AD38" s="114">
        <f>(Req0!AD69+Req0!AD70+Req0!AD71)/(Req2!AD69+Req2!AD70+Req2!AD71)</f>
        <v>84.54001905165116</v>
      </c>
      <c r="AE38" s="114">
        <f>(Req0!AE69+Req0!AE70+Req0!AE71)/(Req2!AE69+Req2!AE70+Req2!AE71)</f>
        <v>79.55160706618962</v>
      </c>
      <c r="AF38" s="114">
        <f>(Req0!AF69+Req0!AF70+Req0!AF71)/(Req2!AF69+Req2!AF70+Req2!AF71)</f>
        <v>77.86680116861436</v>
      </c>
      <c r="AG38" s="114">
        <f>(Req0!AG69+Req0!AG70+Req0!AG71)/(Req2!AG69+Req2!AG70+Req2!AG71)</f>
        <v>74.49601553062985</v>
      </c>
      <c r="AH38" s="114">
        <f>(Req0!AH69+Req0!AH70+Req0!AH71)/(Req2!AH69+Req2!AH70+Req2!AH71)</f>
        <v>73.15335085817526</v>
      </c>
      <c r="AI38" s="114">
        <f>(Req0!AI69+Req0!AI70+Req0!AI71)/(Req2!AI69+Req2!AI70+Req2!AI71)</f>
        <v>75.08242613545816</v>
      </c>
    </row>
    <row r="39" spans="2:35" ht="12.75">
      <c r="B39" s="33" t="s">
        <v>54</v>
      </c>
      <c r="C39" s="114">
        <f>IF(Req2!C72=0,"",(Req0!C72)/(Req2!C72))</f>
      </c>
      <c r="D39" s="114">
        <f>IF(Req2!D72=0,"",(Req0!D72)/(Req2!D72))</f>
      </c>
      <c r="E39" s="114">
        <f>IF(Req2!E72=0,"",(Req0!E72)/(Req2!E72))</f>
      </c>
      <c r="F39" s="114">
        <f>IF(Req2!F72=0,"",(Req0!F72)/(Req2!F72))</f>
      </c>
      <c r="G39" s="114">
        <f>IF(Req2!G72=0,"",(Req0!G72)/(Req2!G72))</f>
      </c>
      <c r="H39" s="114">
        <f>IF(Req2!H72=0,"",(Req0!H72)/(Req2!H72))</f>
      </c>
      <c r="I39" s="114">
        <f>IF(Req2!I72=0,"",(Req0!I72)/(Req2!I72))</f>
      </c>
      <c r="J39" s="114">
        <f>IF(Req2!J72=0,"",(Req0!J72)/(Req2!J72))</f>
      </c>
      <c r="K39" s="114">
        <f>IF(Req2!K72=0,"",(Req0!K72)/(Req2!K72))</f>
      </c>
      <c r="L39" s="114">
        <f>IF(Req2!L72=0,"",(Req0!L72)/(Req2!L72))</f>
      </c>
      <c r="M39" s="114">
        <f>IF(Req2!M72=0,"",(Req0!M72)/(Req2!M72))</f>
      </c>
      <c r="N39" s="114">
        <f>IF(Req2!N72=0,"",(Req0!N72)/(Req2!N72))</f>
      </c>
      <c r="O39" s="114">
        <f>IF(Req2!O72=0,"",(Req0!O72)/(Req2!O72))</f>
      </c>
      <c r="P39" s="114">
        <f>IF(Req2!P72=0,"",(Req0!P72)/(Req2!P72))</f>
      </c>
      <c r="Q39" s="114">
        <f>IF(Req2!Q72=0,"",(Req0!Q72)/(Req2!Q72))</f>
      </c>
      <c r="R39" s="114">
        <f>IF(Req2!R72=0,"",(Req0!R72)/(Req2!R72))</f>
      </c>
      <c r="S39" s="114">
        <f>IF(Req2!S72=0,"",(Req0!S72)/(Req2!S72))</f>
      </c>
      <c r="T39" s="114">
        <f>IF(Req2!T72=0,"",(Req0!T72)/(Req2!T72))</f>
      </c>
      <c r="U39" s="114">
        <f>IF(Req2!U72=0,"",(Req0!U72)/(Req2!U72))</f>
      </c>
      <c r="V39" s="114">
        <f>IF(Req2!V72=0,"",(Req0!V72)/(Req2!V72))</f>
      </c>
      <c r="W39" s="114">
        <f>IF(Req2!W72=0,"",(Req0!W72)/(Req2!W72))</f>
      </c>
      <c r="X39" s="114">
        <f>IF(Req2!X72=0,"",(Req0!X72)/(Req2!X72))</f>
      </c>
      <c r="Y39" s="114">
        <f>IF(Req2!Y72=0,"",(Req0!Y72)/(Req2!Y72))</f>
      </c>
      <c r="Z39" s="114">
        <f>IF(Req2!Z72=0,"",(Req0!Z72)/(Req2!Z72))</f>
      </c>
      <c r="AA39" s="114">
        <f>IF(Req2!AA72=0,"",(Req0!AA72)/(Req2!AA72))</f>
      </c>
      <c r="AB39" s="114">
        <f>IF(Req2!AB72=0,"",(Req0!AB72)/(Req2!AB72))</f>
        <v>83.2864</v>
      </c>
      <c r="AC39" s="114">
        <f>IF(Req2!AC72=0,"",(Req0!AC72)/(Req2!AC72))</f>
        <v>92.95357142857142</v>
      </c>
      <c r="AD39" s="114">
        <f>IF(Req2!AD72=0,"",(Req0!AD72)/(Req2!AD72))</f>
        <v>83.82225</v>
      </c>
      <c r="AE39" s="114">
        <f>IF(Req2!AE72=0,"",(Req0!AE72)/(Req2!AE72))</f>
        <v>109.97683333333333</v>
      </c>
      <c r="AF39" s="114">
        <f>IF(Req2!AF72=0,"",(Req0!AF72)/(Req2!AF72))</f>
        <v>103.67932</v>
      </c>
      <c r="AG39" s="114">
        <f>IF(Req2!AG72=0,"",(Req0!AG72)/(Req2!AG72))</f>
        <v>126.85694583333333</v>
      </c>
      <c r="AH39" s="114">
        <f>IF(Req2!AH72=0,"",(Req0!AH72)/(Req2!AH72))</f>
        <v>111.18594999999999</v>
      </c>
      <c r="AI39" s="114">
        <f>IF(Req2!AI72=0,"",(Req0!AI72)/(Req2!AI72))</f>
        <v>113.48679999999999</v>
      </c>
    </row>
    <row r="40" spans="2:35" ht="12.75">
      <c r="B40" s="33" t="s">
        <v>29</v>
      </c>
      <c r="C40" s="114">
        <f>(Req0!C73+Req0!C74+Req0!C75)/(Req2!C73+Req2!C74+Req2!C75)</f>
        <v>77.67130232558138</v>
      </c>
      <c r="D40" s="114">
        <f>(Req0!D73+Req0!D74+Req0!D75)/(Req2!D73+Req2!D74+Req2!D75)</f>
        <v>86.865</v>
      </c>
      <c r="E40" s="114">
        <f>(Req0!E73+Req0!E74+Req0!E75)/(Req2!E73+Req2!E74+Req2!E75)</f>
        <v>79.26739393939394</v>
      </c>
      <c r="F40" s="114">
        <f>(Req0!F73+Req0!F74+Req0!F75)/(Req2!F73+Req2!F74+Req2!F75)</f>
        <v>84.84957692307692</v>
      </c>
      <c r="G40" s="114">
        <f>(Req0!G73+Req0!G74+Req0!G75)/(Req2!G73+Req2!G74+Req2!G75)</f>
        <v>90.47059761904761</v>
      </c>
      <c r="H40" s="114">
        <f>(Req0!H73+Req0!H74+Req0!H75)/(Req2!H73+Req2!H74+Req2!H75)</f>
        <v>85.45738789237667</v>
      </c>
      <c r="I40" s="114">
        <f>(Req0!I73+Req0!I74+Req0!I75)/(Req2!I73+Req2!I74+Req2!I75)</f>
        <v>93.18049766355139</v>
      </c>
      <c r="J40" s="114">
        <f>(Req0!J73+Req0!J74+Req0!J75)/(Req2!J73+Req2!J74+Req2!J75)</f>
        <v>94.07372197309418</v>
      </c>
      <c r="K40" s="114">
        <f>(Req0!K73+Req0!K74+Req0!K75)/(Req2!K73+Req2!K74+Req2!K75)</f>
        <v>87.31958149779734</v>
      </c>
      <c r="L40" s="114">
        <f>(Req0!L73+Req0!L74+Req0!L75)/(Req2!L73+Req2!L74+Req2!L75)</f>
        <v>80.18341914893615</v>
      </c>
      <c r="M40" s="114">
        <f>(Req0!M73+Req0!M74+Req0!M75)/(Req2!M73+Req2!M74+Req2!M75)</f>
        <v>100.6585288888889</v>
      </c>
      <c r="N40" s="114">
        <f>(Req0!N73+Req0!N74+Req0!N75)/(Req2!N73+Req2!N74+Req2!N75)</f>
        <v>81.64067799999998</v>
      </c>
      <c r="O40" s="114">
        <f>(Req0!O73+Req0!O74+Req0!O75)/(Req2!O73+Req2!O74+Req2!O75)</f>
        <v>97.31650646551724</v>
      </c>
      <c r="P40" s="114">
        <f>(Req0!P73+Req0!P74+Req0!P75)/(Req2!P73+Req2!P74+Req2!P75)</f>
        <v>87.29402719665272</v>
      </c>
      <c r="Q40" s="114">
        <f>(Req0!Q73+Req0!Q74+Req0!Q75)/(Req2!Q73+Req2!Q74+Req2!Q75)</f>
        <v>90.70988940092167</v>
      </c>
      <c r="R40" s="114">
        <f>(Req0!R73+Req0!R74+Req0!R75)/(Req2!R73+Req2!R74+Req2!R75)</f>
        <v>89.99874894514768</v>
      </c>
      <c r="S40" s="114">
        <f>(Req0!S73+Req0!S74+Req0!S75)/(Req2!S73+Req2!S74+Req2!S75)</f>
        <v>91.17178310502283</v>
      </c>
      <c r="T40" s="114">
        <f>(Req0!T73+Req0!T74+Req0!T75)/(Req2!T73+Req2!T74+Req2!T75)</f>
        <v>89.77428888888889</v>
      </c>
      <c r="U40" s="114">
        <f>(Req0!U73+Req0!U74+Req0!U75)/(Req2!U73+Req2!U74+Req2!U75)</f>
        <v>89.3827804347826</v>
      </c>
      <c r="V40" s="114">
        <f>(Req0!V73+Req0!V74+Req0!V75)/(Req2!V73+Req2!V74+Req2!V75)</f>
        <v>86.18239574468086</v>
      </c>
      <c r="W40" s="114">
        <f>(Req0!W73+Req0!W74+Req0!W75)/(Req2!W73+Req2!W74+Req2!W75)</f>
        <v>84.06774186991869</v>
      </c>
      <c r="X40" s="114">
        <f>(Req0!X73+Req0!X74+Req0!X75)/(Req2!X73+Req2!X74+Req2!X75)</f>
        <v>91.07043333333333</v>
      </c>
      <c r="Y40" s="114">
        <f>(Req0!Y73+Req0!Y74+Req0!Y75)/(Req2!Y73+Req2!Y74+Req2!Y75)</f>
        <v>87.78811752136752</v>
      </c>
      <c r="Z40" s="114">
        <f>(Req0!Z73+Req0!Z74+Req0!Z75)/(Req2!Z73+Req2!Z74+Req2!Z75)</f>
        <v>91.51774744897958</v>
      </c>
      <c r="AA40" s="114">
        <f>(Req0!AA73+Req0!AA74+Req0!AA75)/(Req2!AA73+Req2!AA74+Req2!AA75)</f>
        <v>89.19294565217392</v>
      </c>
      <c r="AB40" s="114">
        <f>(Req0!AB73+Req0!AB74+Req0!AB75)/(Req2!AB73+Req2!AB74+Req2!AB75)</f>
        <v>90.95536467889909</v>
      </c>
      <c r="AC40" s="114">
        <f>(Req0!AC73+Req0!AC74+Req0!AC75)/(Req2!AC73+Req2!AC74+Req2!AC75)</f>
        <v>87.83730288461538</v>
      </c>
      <c r="AD40" s="114">
        <f>(Req0!AD73+Req0!AD74+Req0!AD75)/(Req2!AD73+Req2!AD74+Req2!AD75)</f>
        <v>88.56250502283106</v>
      </c>
      <c r="AE40" s="114">
        <f>(Req0!AE73+Req0!AE74+Req0!AE75)/(Req2!AE73+Req2!AE74+Req2!AE75)</f>
        <v>82.11052772727272</v>
      </c>
      <c r="AF40" s="114">
        <f>(Req0!AF73+Req0!AF74+Req0!AF75)/(Req2!AF73+Req2!AF74+Req2!AF75)</f>
        <v>87.57455221238938</v>
      </c>
      <c r="AG40" s="114">
        <f>(Req0!AG73+Req0!AG74+Req0!AG75)/(Req2!AG73+Req2!AG74+Req2!AG75)</f>
        <v>86.33749216589861</v>
      </c>
      <c r="AH40" s="114">
        <f>(Req0!AH73+Req0!AH74+Req0!AH75)/(Req2!AH73+Req2!AH74+Req2!AH75)</f>
        <v>92.5927005050505</v>
      </c>
      <c r="AI40" s="114">
        <f>(Req0!AI73+Req0!AI74+Req0!AI75)/(Req2!AI73+Req2!AI74+Req2!AI75)</f>
        <v>95.00541706161137</v>
      </c>
    </row>
    <row r="41" spans="2:35" ht="12.75">
      <c r="B41" s="33" t="s">
        <v>30</v>
      </c>
      <c r="C41" s="114">
        <f>(Req0!C76+Req0!C77+Req0!C78+Req0!C79)/(Req2!C76+Req2!C77+Req2!C78+Req2!C79)</f>
        <v>103.72595971867007</v>
      </c>
      <c r="D41" s="114">
        <f>(Req0!D76+Req0!D77+Req0!D78+Req0!D79)/(Req2!D76+Req2!D77+Req2!D78+Req2!D79)</f>
        <v>115.12004698375868</v>
      </c>
      <c r="E41" s="114">
        <f>(Req0!E76+Req0!E77+Req0!E78+Req0!E79)/(Req2!E76+Req2!E77+Req2!E78+Req2!E79)</f>
        <v>109.54361916461917</v>
      </c>
      <c r="F41" s="114">
        <f>(Req0!F76+Req0!F77+Req0!F78+Req0!F79)/(Req2!F76+Req2!F77+Req2!F78+Req2!F79)</f>
        <v>110.33246878751501</v>
      </c>
      <c r="G41" s="114">
        <f>(Req0!G76+Req0!G77+Req0!G78+Req0!G79)/(Req2!G76+Req2!G77+Req2!G78+Req2!G79)</f>
        <v>109.67974322732627</v>
      </c>
      <c r="H41" s="114">
        <f>(Req0!H76+Req0!H77+Req0!H78+Req0!H79)/(Req2!H76+Req2!H77+Req2!H78+Req2!H79)</f>
        <v>110.8570878459687</v>
      </c>
      <c r="I41" s="114">
        <f>(Req0!I76+Req0!I77+Req0!I78+Req0!I79)/(Req2!I76+Req2!I77+Req2!I78+Req2!I79)</f>
        <v>111.08406058890148</v>
      </c>
      <c r="J41" s="114">
        <f>(Req0!J76+Req0!J77+Req0!J78+Req0!J79)/(Req2!J76+Req2!J77+Req2!J78+Req2!J79)</f>
        <v>111.90797166666668</v>
      </c>
      <c r="K41" s="114">
        <f>(Req0!K76+Req0!K77+Req0!K78+Req0!K79)/(Req2!K76+Req2!K77+Req2!K78+Req2!K79)</f>
        <v>108.3470341786108</v>
      </c>
      <c r="L41" s="114">
        <f>(Req0!L76+Req0!L77+Req0!L78+Req0!L79)/(Req2!L76+Req2!L77+Req2!L78+Req2!L79)</f>
        <v>106.16563197674418</v>
      </c>
      <c r="M41" s="114">
        <f>(Req0!M76+Req0!M77+Req0!M78+Req0!M79)/(Req2!M76+Req2!M77+Req2!M78+Req2!M79)</f>
        <v>115.46671985058698</v>
      </c>
      <c r="N41" s="114">
        <f>(Req0!N76+Req0!N77+Req0!N78+Req0!N79)/(Req2!N76+Req2!N77+Req2!N78+Req2!N79)</f>
        <v>106.06802827225131</v>
      </c>
      <c r="O41" s="114">
        <f>(Req0!O76+Req0!O77+Req0!O78+Req0!O79)/(Req2!O76+Req2!O77+Req2!O78+Req2!O79)</f>
        <v>110.85820166320165</v>
      </c>
      <c r="P41" s="114">
        <f>(Req0!P76+Req0!P77+Req0!P78+Req0!P79)/(Req2!P76+Req2!P77+Req2!P78+Req2!P79)</f>
        <v>109.0370755995829</v>
      </c>
      <c r="Q41" s="114">
        <f>(Req0!Q76+Req0!Q77+Req0!Q78+Req0!Q79)/(Req2!Q76+Req2!Q77+Req2!Q78+Req2!Q79)</f>
        <v>109.26353765227022</v>
      </c>
      <c r="R41" s="114">
        <f>(Req0!R76+Req0!R77+Req0!R78+Req0!R79)/(Req2!R76+Req2!R77+Req2!R78+Req2!R79)</f>
        <v>116.34661767955801</v>
      </c>
      <c r="S41" s="114">
        <f>(Req0!S76+Req0!S77+Req0!S78+Req0!S79)/(Req2!S76+Req2!S77+Req2!S78+Req2!S79)</f>
        <v>112.77401027027028</v>
      </c>
      <c r="T41" s="114">
        <f>(Req0!T76+Req0!T77+Req0!T78+Req0!T79)/(Req2!T76+Req2!T77+Req2!T78+Req2!T79)</f>
        <v>113.63430320366133</v>
      </c>
      <c r="U41" s="114">
        <f>(Req0!U76+Req0!U77+Req0!U78+Req0!U79)/(Req2!U76+Req2!U77+Req2!U78+Req2!U79)</f>
        <v>114.3905245365322</v>
      </c>
      <c r="V41" s="114">
        <f>(Req0!V76+Req0!V77+Req0!V78+Req0!V79)/(Req2!V76+Req2!V77+Req2!V78+Req2!V79)</f>
        <v>120.6738446882217</v>
      </c>
      <c r="W41" s="114">
        <f>(Req0!W76+Req0!W77+Req0!W78+Req0!W79)/(Req2!W76+Req2!W77+Req2!W78+Req2!W79)</f>
        <v>112.09411690450055</v>
      </c>
      <c r="X41" s="114">
        <f>(Req0!X76+Req0!X77+Req0!X78+Req0!X79)/(Req2!X76+Req2!X77+Req2!X78+Req2!X79)</f>
        <v>113.85296009389671</v>
      </c>
      <c r="Y41" s="114">
        <f>(Req0!Y76+Req0!Y77+Req0!Y78+Req0!Y79)/(Req2!Y76+Req2!Y77+Req2!Y78+Req2!Y79)</f>
        <v>117.92627820372398</v>
      </c>
      <c r="Z41" s="114">
        <f>(Req0!Z76+Req0!Z77+Req0!Z78+Req0!Z79)/(Req2!Z76+Req2!Z77+Req2!Z78+Req2!Z79)</f>
        <v>112.24325695284158</v>
      </c>
      <c r="AA41" s="114">
        <f>(Req0!AA76+Req0!AA77+Req0!AA78+Req0!AA79)/(Req2!AA76+Req2!AA77+Req2!AA78+Req2!AA79)</f>
        <v>117.99708351528383</v>
      </c>
      <c r="AB41" s="114">
        <f>(Req0!AB76+Req0!AB77+Req0!AB78+Req0!AB79)/(Req2!AB76+Req2!AB77+Req2!AB78+Req2!AB79)</f>
        <v>105.90040132304298</v>
      </c>
      <c r="AC41" s="114">
        <f>(Req0!AC76+Req0!AC77+Req0!AC78+Req0!AC79)/(Req2!AC76+Req2!AC77+Req2!AC78+Req2!AC79)</f>
        <v>102.43975714285713</v>
      </c>
      <c r="AD41" s="114">
        <f>(Req0!AD76+Req0!AD77+Req0!AD78+Req0!AD79)/(Req2!AD76+Req2!AD77+Req2!AD78+Req2!AD79)</f>
        <v>107.3201640969163</v>
      </c>
      <c r="AE41" s="114">
        <f>(Req0!AE76+Req0!AE77+Req0!AE78+Req0!AE79)/(Req2!AE76+Req2!AE77+Req2!AE78+Req2!AE79)</f>
        <v>102.44747584269663</v>
      </c>
      <c r="AF41" s="114">
        <f>(Req0!AF76+Req0!AF77+Req0!AF78+Req0!AF79)/(Req2!AF76+Req2!AF77+Req2!AF78+Req2!AF79)</f>
        <v>109.39732060133629</v>
      </c>
      <c r="AG41" s="114">
        <f>(Req0!AG76+Req0!AG77+Req0!AG78+Req0!AG79)/(Req2!AG76+Req2!AG77+Req2!AG78+Req2!AG79)</f>
        <v>106.47301129032257</v>
      </c>
      <c r="AH41" s="114">
        <f>(Req0!AH76+Req0!AH77+Req0!AH78+Req0!AH79)/(Req2!AH76+Req2!AH77+Req2!AH78+Req2!AH79)</f>
        <v>92.8460197263398</v>
      </c>
      <c r="AI41" s="114">
        <f>(Req0!AI76+Req0!AI77+Req0!AI78+Req0!AI79)/(Req2!AI76+Req2!AI77+Req2!AI78+Req2!AI79)</f>
        <v>96.49045742067553</v>
      </c>
    </row>
    <row r="42" spans="2:35" ht="12.75">
      <c r="B42" s="33" t="s">
        <v>31</v>
      </c>
      <c r="C42" s="114">
        <f>(Req0!C80+Req0!C81+Req0!C82)/(Req2!C80+Req2!C81+Req2!C82)</f>
        <v>99.84235714285715</v>
      </c>
      <c r="D42" s="114">
        <f>(Req0!D80+Req0!D81+Req0!D82)/(Req2!D80+Req2!D81+Req2!D82)</f>
        <v>97.14027631578948</v>
      </c>
      <c r="E42" s="114">
        <f>(Req0!E80+Req0!E81+Req0!E82)/(Req2!E80+Req2!E81+Req2!E82)</f>
        <v>88.67078571428571</v>
      </c>
      <c r="F42" s="114">
        <f>(Req0!F80+Req0!F81+Req0!F82)/(Req2!F80+Req2!F81+Req2!F82)</f>
        <v>97.77306147540983</v>
      </c>
      <c r="G42" s="114">
        <f>(Req0!G80+Req0!G81+Req0!G82)/(Req2!G80+Req2!G81+Req2!G82)</f>
        <v>93.63094160583942</v>
      </c>
      <c r="H42" s="114">
        <f>(Req0!H80+Req0!H81+Req0!H82)/(Req2!H80+Req2!H81+Req2!H82)</f>
        <v>83.55826027397259</v>
      </c>
      <c r="I42" s="114">
        <f>(Req0!I80+Req0!I81+Req0!I82)/(Req2!I80+Req2!I81+Req2!I82)</f>
        <v>79.57103921568627</v>
      </c>
      <c r="J42" s="114">
        <f>(Req0!J80+Req0!J81+Req0!J82)/(Req2!J80+Req2!J81+Req2!J82)</f>
        <v>99.16104098360657</v>
      </c>
      <c r="K42" s="114">
        <f>(Req0!K80+Req0!K81+Req0!K82)/(Req2!K80+Req2!K81+Req2!K82)</f>
        <v>84.4610874125874</v>
      </c>
      <c r="L42" s="114">
        <f>(Req0!L80+Req0!L81+Req0!L82)/(Req2!L80+Req2!L81+Req2!L82)</f>
        <v>90.69136861313869</v>
      </c>
      <c r="M42" s="114">
        <f>(Req0!M80+Req0!M81+Req0!M82)/(Req2!M80+Req2!M81+Req2!M82)</f>
        <v>87.5094680232558</v>
      </c>
      <c r="N42" s="114">
        <f>(Req0!N80+Req0!N81+Req0!N82)/(Req2!N80+Req2!N81+Req2!N82)</f>
        <v>82.92850558659218</v>
      </c>
      <c r="O42" s="114">
        <f>(Req0!O80+Req0!O81+Req0!O82)/(Req2!O80+Req2!O81+Req2!O82)</f>
        <v>85.2217461928934</v>
      </c>
      <c r="P42" s="114">
        <f>(Req0!P80+Req0!P81+Req0!P82)/(Req2!P80+Req2!P81+Req2!P82)</f>
        <v>83.48520283018868</v>
      </c>
      <c r="Q42" s="114">
        <f>(Req0!Q80+Req0!Q81+Req0!Q82)/(Req2!Q80+Req2!Q81+Req2!Q82)</f>
        <v>90.2680108695652</v>
      </c>
      <c r="R42" s="114">
        <f>(Req0!R80+Req0!R81+Req0!R82)/(Req2!R80+Req2!R81+Req2!R82)</f>
        <v>90.55149750000001</v>
      </c>
      <c r="S42" s="114">
        <f>(Req0!S80+Req0!S81+Req0!S82)/(Req2!S80+Req2!S81+Req2!S82)</f>
        <v>89.99188669950739</v>
      </c>
      <c r="T42" s="114">
        <f>(Req0!T80+Req0!T81+Req0!T82)/(Req2!T80+Req2!T81+Req2!T82)</f>
        <v>82.46857638888888</v>
      </c>
      <c r="U42" s="114">
        <f>(Req0!U80+Req0!U81+Req0!U82)/(Req2!U80+Req2!U81+Req2!U82)</f>
        <v>87.58783183856501</v>
      </c>
      <c r="V42" s="114">
        <f>(Req0!V80+Req0!V81+Req0!V82)/(Req2!V80+Req2!V81+Req2!V82)</f>
        <v>91.98561312217194</v>
      </c>
      <c r="W42" s="114">
        <f>(Req0!W80+Req0!W81+Req0!W82)/(Req2!W80+Req2!W81+Req2!W82)</f>
        <v>88.96075974025973</v>
      </c>
      <c r="X42" s="114">
        <f>(Req0!X80+Req0!X81+Req0!X82)/(Req2!X80+Req2!X81+Req2!X82)</f>
        <v>79.7578228782288</v>
      </c>
      <c r="Y42" s="114">
        <f>(Req0!Y80+Req0!Y81+Req0!Y82)/(Req2!Y80+Req2!Y81+Req2!Y82)</f>
        <v>80.39801963746224</v>
      </c>
      <c r="Z42" s="114">
        <f>(Req0!Z80+Req0!Z81+Req0!Z82)/(Req2!Z80+Req2!Z81+Req2!Z82)</f>
        <v>75.31463525835868</v>
      </c>
      <c r="AA42" s="114">
        <f>(Req0!AA80+Req0!AA81+Req0!AA82)/(Req2!AA80+Req2!AA81+Req2!AA82)</f>
        <v>78.43236904761905</v>
      </c>
      <c r="AB42" s="114">
        <f>(Req0!AB80+Req0!AB81+Req0!AB82)/(Req2!AB80+Req2!AB81+Req2!AB82)</f>
        <v>80.89002592592593</v>
      </c>
      <c r="AC42" s="114">
        <f>(Req0!AC80+Req0!AC81+Req0!AC82)/(Req2!AC80+Req2!AC81+Req2!AC82)</f>
        <v>78.92911792207794</v>
      </c>
      <c r="AD42" s="114">
        <f>(Req0!AD80+Req0!AD81+Req0!AD82)/(Req2!AD80+Req2!AD81+Req2!AD82)</f>
        <v>86.2289855036855</v>
      </c>
      <c r="AE42" s="114">
        <f>(Req0!AE80+Req0!AE81+Req0!AE82)/(Req2!AE80+Req2!AE81+Req2!AE82)</f>
        <v>79.61109661835748</v>
      </c>
      <c r="AF42" s="114">
        <f>(Req0!AF80+Req0!AF81+Req0!AF82)/(Req2!AF80+Req2!AF81+Req2!AF82)</f>
        <v>80.86716855345912</v>
      </c>
      <c r="AG42" s="114">
        <f>(Req0!AG80+Req0!AG81+Req0!AG82)/(Req2!AG80+Req2!AG81+Req2!AG82)</f>
        <v>77.06603691983122</v>
      </c>
      <c r="AH42" s="114">
        <f>(Req0!AH80+Req0!AH81+Req0!AH82)/(Req2!AH80+Req2!AH81+Req2!AH82)</f>
        <v>78.761033037694</v>
      </c>
      <c r="AI42" s="114">
        <f>(Req0!AI80+Req0!AI81+Req0!AI82)/(Req2!AI80+Req2!AI81+Req2!AI82)</f>
        <v>84.32001892430279</v>
      </c>
    </row>
    <row r="43" spans="2:35" ht="12.75">
      <c r="B43" s="33" t="s">
        <v>32</v>
      </c>
      <c r="C43" s="114">
        <f>IF(Req2!C83=0,"",(Req0!C83)/(Req2!C83))</f>
      </c>
      <c r="D43" s="114">
        <f>IF(Req2!D83=0,"",(Req0!D83)/(Req2!D83))</f>
      </c>
      <c r="E43" s="114">
        <f>IF(Req2!E83=0,"",(Req0!E83)/(Req2!E83))</f>
      </c>
      <c r="F43" s="114">
        <f>IF(Req2!F83=0,"",(Req0!F83)/(Req2!F83))</f>
      </c>
      <c r="G43" s="114">
        <f>IF(Req2!G83=0,"",(Req0!G83)/(Req2!G83))</f>
      </c>
      <c r="H43" s="114">
        <f>IF(Req2!H83=0,"",(Req0!H83)/(Req2!H83))</f>
      </c>
      <c r="I43" s="114">
        <f>IF(Req2!I83=0,"",(Req0!I83)/(Req2!I83))</f>
      </c>
      <c r="J43" s="114">
        <f>IF(Req2!J83=0,"",(Req0!J83)/(Req2!J83))</f>
      </c>
      <c r="K43" s="114">
        <f>IF(Req2!K83=0,"",(Req0!K83)/(Req2!K83))</f>
        <v>210.6637</v>
      </c>
      <c r="L43" s="114">
        <f>IF(Req2!L83=0,"",(Req0!L83)/(Req2!L83))</f>
        <v>216.181</v>
      </c>
      <c r="M43" s="114">
        <f>IF(Req2!M83=0,"",(Req0!M83)/(Req2!M83))</f>
        <v>214.2725</v>
      </c>
      <c r="N43" s="114">
        <f>IF(Req2!N83=0,"",(Req0!N83)/(Req2!N83))</f>
        <v>188.71016666666668</v>
      </c>
      <c r="O43" s="114">
        <f>IF(Req2!O83=0,"",(Req0!O83)/(Req2!O83))</f>
        <v>237.0279888888889</v>
      </c>
      <c r="P43" s="114">
        <f>IF(Req2!P83=0,"",(Req0!P83)/(Req2!P83))</f>
        <v>158.33610000000002</v>
      </c>
      <c r="Q43" s="114">
        <f>IF(Req2!Q83=0,"",(Req0!Q83)/(Req2!Q83))</f>
        <v>185.2585681818182</v>
      </c>
      <c r="R43" s="114">
        <f>IF(Req2!R83=0,"",(Req0!R83)/(Req2!R83))</f>
        <v>178.00643421052632</v>
      </c>
      <c r="S43" s="114">
        <f>IF(Req2!S83=0,"",(Req0!S83)/(Req2!S83))</f>
        <v>149.19147087378641</v>
      </c>
      <c r="T43" s="114">
        <f>IF(Req2!T83=0,"",(Req0!T83)/(Req2!T83))</f>
        <v>156.85579126213594</v>
      </c>
      <c r="U43" s="114">
        <f>IF(Req2!U83=0,"",(Req0!U83)/(Req2!U83))</f>
        <v>161.658625</v>
      </c>
      <c r="V43" s="114">
        <f>IF(Req2!V83=0,"",(Req0!V83)/(Req2!V83))</f>
        <v>148.46918253968252</v>
      </c>
      <c r="W43" s="114">
        <f>IF(Req2!W83=0,"",(Req0!W83)/(Req2!W83))</f>
        <v>158.6918455284553</v>
      </c>
      <c r="X43" s="114">
        <f>IF(Req2!X83=0,"",(Req0!X83)/(Req2!X83))</f>
        <v>136.52679591836733</v>
      </c>
      <c r="Y43" s="114">
        <f>IF(Req2!Y83=0,"",(Req0!Y83)/(Req2!Y83))</f>
        <v>148.24649666666667</v>
      </c>
      <c r="Z43" s="114">
        <f>IF(Req2!Z83=0,"",(Req0!Z83)/(Req2!Z83))</f>
        <v>166.09198739495795</v>
      </c>
      <c r="AA43" s="114">
        <f>IF(Req2!AA83=0,"",(Req0!AA83)/(Req2!AA83))</f>
        <v>158.23444366197185</v>
      </c>
      <c r="AB43" s="114">
        <f>IF(Req2!AB83=0,"",(Req0!AB83)/(Req2!AB83))</f>
        <v>167.05096808510638</v>
      </c>
      <c r="AC43" s="114">
        <f>IF(Req2!AC83=0,"",(Req0!AC83)/(Req2!AC83))</f>
        <v>155.56551418439716</v>
      </c>
      <c r="AD43" s="114">
        <f>IF(Req2!AD83=0,"",(Req0!AD83)/(Req2!AD83))</f>
        <v>166.76404577464788</v>
      </c>
      <c r="AE43" s="114">
        <f>IF(Req2!AE83=0,"",(Req0!AE83)/(Req2!AE83))</f>
        <v>155.4361714285714</v>
      </c>
      <c r="AF43" s="114">
        <f>IF(Req2!AF83=0,"",(Req0!AF83)/(Req2!AF83))</f>
        <v>156.60830188679245</v>
      </c>
      <c r="AG43" s="114">
        <f>IF(Req2!AG83=0,"",(Req0!AG83)/(Req2!AG83))</f>
        <v>151.66040584415583</v>
      </c>
      <c r="AH43" s="114">
        <f>IF(Req2!AH83=0,"",(Req0!AH83)/(Req2!AH83))</f>
        <v>153.47135971223022</v>
      </c>
      <c r="AI43" s="114">
        <f>IF(Req2!AI83=0,"",(Req0!AI83)/(Req2!AI83))</f>
        <v>156.03577018633538</v>
      </c>
    </row>
    <row r="44" spans="2:35" ht="12.75">
      <c r="B44" s="33" t="s">
        <v>33</v>
      </c>
      <c r="C44" s="114">
        <f>IF((Req2!C84+Req2!C85)=0,"",(Req0!C84+Req0!C85)/(Req2!C84+Req2!C85))</f>
      </c>
      <c r="D44" s="114">
        <f>IF((Req2!D84+Req2!D85)=0,"",(Req0!D84+Req0!D85)/(Req2!D84+Req2!D85))</f>
      </c>
      <c r="E44" s="114">
        <f>IF((Req2!E84+Req2!E85)=0,"",(Req0!E84+Req0!E85)/(Req2!E84+Req2!E85))</f>
      </c>
      <c r="F44" s="114">
        <f>IF((Req2!F84+Req2!F85)=0,"",(Req0!F84+Req0!F85)/(Req2!F84+Req2!F85))</f>
      </c>
      <c r="G44" s="114">
        <f>IF((Req2!G84+Req2!G85)=0,"",(Req0!G84+Req0!G85)/(Req2!G84+Req2!G85))</f>
      </c>
      <c r="H44" s="114">
        <f>IF((Req2!H84+Req2!H85)=0,"",(Req0!H84+Req0!H85)/(Req2!H84+Req2!H85))</f>
      </c>
      <c r="I44" s="114">
        <f>IF((Req2!I84+Req2!I85)=0,"",(Req0!I84+Req0!I85)/(Req2!I84+Req2!I85))</f>
      </c>
      <c r="J44" s="114">
        <f>IF((Req2!J84+Req2!J85)=0,"",(Req0!J84+Req0!J85)/(Req2!J84+Req2!J85))</f>
      </c>
      <c r="K44" s="114">
        <f>IF((Req2!K84+Req2!K85)=0,"",(Req0!K84+Req0!K85)/(Req2!K84+Req2!K85))</f>
      </c>
      <c r="L44" s="114">
        <f>IF((Req2!L84+Req2!L85)=0,"",(Req0!L84+Req0!L85)/(Req2!L84+Req2!L85))</f>
      </c>
      <c r="M44" s="114">
        <f>IF((Req2!M84+Req2!M85)=0,"",(Req0!M84+Req0!M85)/(Req2!M84+Req2!M85))</f>
      </c>
      <c r="N44" s="114">
        <f>IF((Req2!N84+Req2!N85)=0,"",(Req0!N84+Req0!N85)/(Req2!N84+Req2!N85))</f>
      </c>
      <c r="O44" s="114">
        <f>IF((Req2!O84+Req2!O85)=0,"",(Req0!O84+Req0!O85)/(Req2!O84+Req2!O85))</f>
      </c>
      <c r="P44" s="114">
        <f>IF((Req2!P84+Req2!P85)=0,"",(Req0!P84+Req0!P85)/(Req2!P84+Req2!P85))</f>
      </c>
      <c r="Q44" s="114">
        <f>IF((Req2!Q84+Req2!Q85)=0,"",(Req0!Q84+Req0!Q85)/(Req2!Q84+Req2!Q85))</f>
      </c>
      <c r="R44" s="114">
        <f>IF((Req2!R84+Req2!R85)=0,"",(Req0!R84+Req0!R85)/(Req2!R84+Req2!R85))</f>
      </c>
      <c r="S44" s="114">
        <f>IF((Req2!S84+Req2!S85)=0,"",(Req0!S84+Req0!S85)/(Req2!S84+Req2!S85))</f>
      </c>
      <c r="T44" s="114">
        <f>IF((Req2!T84+Req2!T85)=0,"",(Req0!T84+Req0!T85)/(Req2!T84+Req2!T85))</f>
      </c>
      <c r="U44" s="114">
        <f>IF((Req2!U84+Req2!U85)=0,"",(Req0!U84+Req0!U85)/(Req2!U84+Req2!U85))</f>
      </c>
      <c r="V44" s="114">
        <f>IF((Req2!V84+Req2!V85)=0,"",(Req0!V84+Req0!V85)/(Req2!V84+Req2!V85))</f>
      </c>
      <c r="W44" s="114">
        <f>IF((Req2!W84+Req2!W85)=0,"",(Req0!W84+Req0!W85)/(Req2!W84+Req2!W85))</f>
        <v>250.5525</v>
      </c>
      <c r="X44" s="114">
        <f>IF((Req2!X84+Req2!X85)=0,"",(Req0!X84+Req0!X85)/(Req2!X84+Req2!X85))</f>
        <v>212.93833333333333</v>
      </c>
      <c r="Y44" s="114">
        <f>IF((Req2!Y84+Req2!Y85)=0,"",(Req0!Y84+Req0!Y85)/(Req2!Y84+Req2!Y85))</f>
        <v>237.95334375</v>
      </c>
      <c r="Z44" s="114">
        <f>IF((Req2!Z84+Req2!Z85)=0,"",(Req0!Z84+Req0!Z85)/(Req2!Z84+Req2!Z85))</f>
        <v>245.57948484848484</v>
      </c>
      <c r="AA44" s="114">
        <f>IF((Req2!AA84+Req2!AA85)=0,"",(Req0!AA84+Req0!AA85)/(Req2!AA84+Req2!AA85))</f>
        <v>301.5488723404255</v>
      </c>
      <c r="AB44" s="114">
        <f>IF((Req2!AB84+Req2!AB85)=0,"",(Req0!AB84+Req0!AB85)/(Req2!AB84+Req2!AB85))</f>
        <v>276.5832830188679</v>
      </c>
      <c r="AC44" s="114">
        <f>IF((Req2!AC84+Req2!AC85)=0,"",(Req0!AC84+Req0!AC85)/(Req2!AC84+Req2!AC85))</f>
        <v>264.0323859649123</v>
      </c>
      <c r="AD44" s="114">
        <f>IF((Req2!AD84+Req2!AD85)=0,"",(Req0!AD84+Req0!AD85)/(Req2!AD84+Req2!AD85))</f>
        <v>289.50732203389833</v>
      </c>
      <c r="AE44" s="114">
        <f>IF((Req2!AE84+Req2!AE85)=0,"",(Req0!AE84+Req0!AE85)/(Req2!AE84+Req2!AE85))</f>
        <v>277.4997076923077</v>
      </c>
      <c r="AF44" s="114">
        <f>IF((Req2!AF84+Req2!AF85)=0,"",(Req0!AF84+Req0!AF85)/(Req2!AF84+Req2!AF85))</f>
        <v>268.37886486486485</v>
      </c>
      <c r="AG44" s="114">
        <f>IF((Req2!AG84+Req2!AG85)=0,"",(Req0!AG84+Req0!AG85)/(Req2!AG84+Req2!AG85))</f>
        <v>296.15664615384617</v>
      </c>
      <c r="AH44" s="114">
        <f>IF((Req2!AH84+Req2!AH85)=0,"",(Req0!AH84+Req0!AH85)/(Req2!AH84+Req2!AH85))</f>
        <v>307.3155384615385</v>
      </c>
      <c r="AI44" s="114">
        <f>IF((Req2!AI84+Req2!AI85)=0,"",(Req0!AI84+Req0!AI85)/(Req2!AI84+Req2!AI85))</f>
        <v>311.56478205128207</v>
      </c>
    </row>
    <row r="45" spans="2:35" ht="12.75">
      <c r="B45" s="33" t="s">
        <v>34</v>
      </c>
      <c r="C45" s="114">
        <f>(Req0!C86)/(Req2!C86)</f>
        <v>84.8548</v>
      </c>
      <c r="D45" s="114">
        <f>(Req0!D86)/(Req2!D86)</f>
        <v>34.495636363636365</v>
      </c>
      <c r="E45" s="114">
        <f>(Req0!E86)/(Req2!E86)</f>
        <v>50.42475</v>
      </c>
      <c r="F45" s="114">
        <f>(Req0!F86)/(Req2!F86)</f>
        <v>59.148666666666664</v>
      </c>
      <c r="G45" s="114">
        <f>(Req0!G86)/(Req2!G86)</f>
        <v>49.03228571428571</v>
      </c>
      <c r="H45" s="114">
        <f>(Req0!H86)/(Req2!H86)</f>
        <v>33.323454545454545</v>
      </c>
      <c r="I45" s="114">
        <f>(Req0!I86)/(Req2!I86)</f>
        <v>27.299384615384614</v>
      </c>
      <c r="J45" s="114">
        <f>(Req0!J86)/(Req2!J86)</f>
        <v>39.0504</v>
      </c>
      <c r="K45" s="114">
        <f>(Req0!K86)/(Req2!K86)</f>
        <v>30.290666666666667</v>
      </c>
      <c r="L45" s="114">
        <f>(Req0!L86)/(Req2!L86)</f>
        <v>36.294222222222224</v>
      </c>
      <c r="M45" s="114">
        <f>(Req0!M86)/(Req2!M86)</f>
        <v>46.4798</v>
      </c>
      <c r="N45" s="114">
        <f>(Req0!N86)/(Req2!N86)</f>
        <v>42.093111111111114</v>
      </c>
      <c r="O45" s="114">
        <f>(Req0!O86)/(Req2!O86)</f>
        <v>27.670933333333334</v>
      </c>
      <c r="P45" s="114">
        <f>(Req0!P86)/(Req2!P86)</f>
        <v>35.27709090909091</v>
      </c>
      <c r="Q45" s="114">
        <f>(Req0!Q86)/(Req2!Q86)</f>
        <v>34.33283333333333</v>
      </c>
      <c r="R45" s="114">
        <f>(Req0!R86)/(Req2!R86)</f>
        <v>34.690999999999995</v>
      </c>
      <c r="S45" s="114">
        <f>(Req0!S86)/(Req2!S86)</f>
        <v>30.747230769230768</v>
      </c>
      <c r="T45" s="114">
        <f>(Req0!T86)/(Req2!T86)</f>
        <v>39.347166666666666</v>
      </c>
      <c r="U45" s="114">
        <f>(Req0!U86)/(Req2!U86)</f>
        <v>36.33763636363636</v>
      </c>
      <c r="V45" s="114">
        <f>(Req0!V86)/(Req2!V86)</f>
        <v>37.65866666666667</v>
      </c>
      <c r="W45" s="114">
        <f>(Req0!W86)/(Req2!W86)</f>
        <v>32.273375</v>
      </c>
      <c r="X45" s="114">
        <f>(Req0!X86)/(Req2!X86)</f>
        <v>26.796714285714284</v>
      </c>
      <c r="Y45" s="114">
        <f>(Req0!Y86)/(Req2!Y86)</f>
        <v>43.1642</v>
      </c>
      <c r="Z45" s="114">
        <f>(Req0!Z86)/(Req2!Z86)</f>
        <v>32.95133333333333</v>
      </c>
      <c r="AA45" s="114">
        <f>(Req0!AA86)/(Req2!AA86)</f>
        <v>37.06327272727273</v>
      </c>
      <c r="AB45" s="114">
        <f>(Req0!AB86)/(Req2!AB86)</f>
        <v>33.36066666666667</v>
      </c>
      <c r="AC45" s="114">
        <f>(Req0!AC86)/(Req2!AC86)</f>
        <v>31.621</v>
      </c>
      <c r="AD45" s="114">
        <f>(Req0!AD86)/(Req2!AD86)</f>
        <v>32.787600000000005</v>
      </c>
      <c r="AE45" s="114">
        <f>(Req0!AE86)/(Req2!AE86)</f>
        <v>26.17175</v>
      </c>
      <c r="AF45" s="114">
        <f>(Req0!AF86)/(Req2!AF86)</f>
        <v>28.244</v>
      </c>
      <c r="AG45" s="114">
        <f>(Req0!AG86)/(Req2!AG86)</f>
        <v>29.86929411764706</v>
      </c>
      <c r="AH45" s="114">
        <f>(Req0!AH86)/(Req2!AH86)</f>
        <v>35.305</v>
      </c>
      <c r="AI45" s="114">
        <f>(Req0!AI86)/(Req2!AI86)</f>
        <v>37.93642857142857</v>
      </c>
    </row>
    <row r="46" spans="2:35" ht="12.75">
      <c r="B46" s="33" t="s">
        <v>35</v>
      </c>
      <c r="C46" s="114">
        <f>(Req0!C87+Req0!C88+Req0!C89+Req0!C90+Req0!C91+Req0!C92+Req0!C93)/(Req2!C87+Req2!C88+Req2!C89+Req2!C90+Req2!C91+Req2!C92+Req2!C93)</f>
        <v>28.27782844129555</v>
      </c>
      <c r="D46" s="114">
        <f>(Req0!D87+Req0!D88+Req0!D89+Req0!D90+Req0!D91+Req0!D92+Req0!D93)/(Req2!D87+Req2!D88+Req2!D89+Req2!D90+Req2!D91+Req2!D92+Req2!D93)</f>
        <v>29.543492268041238</v>
      </c>
      <c r="E46" s="114">
        <f>(Req0!E87+Req0!E88+Req0!E89+Req0!E90+Req0!E91+Req0!E92+Req0!E93)/(Req2!E87+Req2!E88+Req2!E89+Req2!E90+Req2!E91+Req2!E92+Req2!E93)</f>
        <v>30.424692490494298</v>
      </c>
      <c r="F46" s="114">
        <f>(Req0!F87+Req0!F88+Req0!F89+Req0!F90+Req0!F91+Req0!F92+Req0!F93)/(Req2!F87+Req2!F88+Req2!F89+Req2!F90+Req2!F91+Req2!F92+Req2!F93)</f>
        <v>28.873399814471245</v>
      </c>
      <c r="G46" s="114">
        <f>(Req0!G87+Req0!G88+Req0!G89+Req0!G90+Req0!G91+Req0!G92+Req0!G93)/(Req2!G87+Req2!G88+Req2!G89+Req2!G90+Req2!G91+Req2!G92+Req2!G93)</f>
        <v>28.66203448275862</v>
      </c>
      <c r="H46" s="114">
        <f>(Req0!H87+Req0!H88+Req0!H89+Req0!H90+Req0!H91+Req0!H92+Req0!H93)/(Req2!H87+Req2!H88+Req2!H89+Req2!H90+Req2!H91+Req2!H92+Req2!H93)</f>
        <v>29.2257265917603</v>
      </c>
      <c r="I46" s="114">
        <f>(Req0!I87+Req0!I88+Req0!I89+Req0!I90+Req0!I91+Req0!I92+Req0!I93)/(Req2!I87+Req2!I88+Req2!I89+Req2!I90+Req2!I91+Req2!I92+Req2!I93)</f>
        <v>29.180900610287708</v>
      </c>
      <c r="J46" s="114">
        <f>(Req0!J87+Req0!J88+Req0!J89+Req0!J90+Req0!J91+Req0!J92+Req0!J93)/(Req2!J87+Req2!J88+Req2!J89+Req2!J90+Req2!J91+Req2!J92+Req2!J93)</f>
        <v>30.1152391688771</v>
      </c>
      <c r="K46" s="114">
        <f>(Req0!K87+Req0!K88+Req0!K89+Req0!K90+Req0!K91+Req0!K92+Req0!K93)/(Req2!K87+Req2!K88+Req2!K89+Req2!K90+Req2!K91+Req2!K92+Req2!K93)</f>
        <v>29.573338328792012</v>
      </c>
      <c r="L46" s="114">
        <f>(Req0!L87+Req0!L88+Req0!L89+Req0!L90+Req0!L91+Req0!L92+Req0!L93)/(Req2!L87+Req2!L88+Req2!L89+Req2!L90+Req2!L91+Req2!L92+Req2!L93)</f>
        <v>29.62656936416185</v>
      </c>
      <c r="M46" s="114">
        <f>(Req0!M87+Req0!M88+Req0!M89+Req0!M90+Req0!M91+Req0!M92+Req0!M93)/(Req2!M87+Req2!M88+Req2!M89+Req2!M90+Req2!M91+Req2!M92+Req2!M93)</f>
        <v>30.09633616298812</v>
      </c>
      <c r="N46" s="114">
        <f>(Req0!N87+Req0!N88+Req0!N89+Req0!N90+Req0!N91+Req0!N92+Req0!N93)/(Req2!N87+Req2!N88+Req2!N89+Req2!N90+Req2!N91+Req2!N92+Req2!N93)</f>
        <v>30.5059194722475</v>
      </c>
      <c r="O46" s="114">
        <f>(Req0!O87+Req0!O88+Req0!O89+Req0!O90+Req0!O91+Req0!O92+Req0!O93)/(Req2!O87+Req2!O88+Req2!O89+Req2!O90+Req2!O91+Req2!O92+Req2!O93)</f>
        <v>30.27290113735783</v>
      </c>
      <c r="P46" s="114">
        <f>(Req0!P87+Req0!P88+Req0!P89+Req0!P90+Req0!P91+Req0!P92+Req0!P93)/(Req2!P87+Req2!P88+Req2!P89+Req2!P90+Req2!P91+Req2!P92+Req2!P93)</f>
        <v>30.401830915684496</v>
      </c>
      <c r="Q46" s="114">
        <f>(Req0!Q87+Req0!Q88+Req0!Q89+Req0!Q90+Req0!Q91+Req0!Q92+Req0!Q93)/(Req2!Q87+Req2!Q88+Req2!Q89+Req2!Q90+Req2!Q91+Req2!Q92+Req2!Q93)</f>
        <v>30.073076015108594</v>
      </c>
      <c r="R46" s="114">
        <f>(Req0!R87+Req0!R88+Req0!R89+Req0!R90+Req0!R91+Req0!R92+Req0!R93)/(Req2!R87+Req2!R88+Req2!R89+Req2!R90+Req2!R91+Req2!R92+Req2!R93)</f>
        <v>31.026021937842778</v>
      </c>
      <c r="S46" s="114">
        <f>(Req0!S87+Req0!S88+Req0!S89+Req0!S90+Req0!S91+Req0!S92+Req0!S93)/(Req2!S87+Req2!S88+Req2!S89+Req2!S90+Req2!S91+Req2!S92+Req2!S93)</f>
        <v>30.188995949594965</v>
      </c>
      <c r="T46" s="114">
        <f>(Req0!T87+Req0!T88+Req0!T89+Req0!T90+Req0!T91+Req0!T92+Req0!T93)/(Req2!T87+Req2!T88+Req2!T89+Req2!T90+Req2!T91+Req2!T92+Req2!T93)</f>
        <v>29.714267092069274</v>
      </c>
      <c r="U46" s="114">
        <f>(Req0!U87+Req0!U88+Req0!U89+Req0!U90+Req0!U91+Req0!U92+Req0!U93)/(Req2!U87+Req2!U88+Req2!U89+Req2!U90+Req2!U91+Req2!U92+Req2!U93)</f>
        <v>30.404739982190563</v>
      </c>
      <c r="V46" s="114">
        <f>(Req0!V87+Req0!V88+Req0!V89+Req0!V90+Req0!V91+Req0!V92+Req0!V93)/(Req2!V87+Req2!V88+Req2!V89+Req2!V90+Req2!V91+Req2!V92+Req2!V93)</f>
        <v>30.67833794642857</v>
      </c>
      <c r="W46" s="114">
        <f>(Req0!W87+Req0!W88+Req0!W89+Req0!W90+Req0!W91+Req0!W92+Req0!W93)/(Req2!W87+Req2!W88+Req2!W89+Req2!W90+Req2!W91+Req2!W92+Req2!W93)</f>
        <v>30.610478564771668</v>
      </c>
      <c r="X46" s="114">
        <f>(Req0!X87+Req0!X88+Req0!X89+Req0!X90+Req0!X91+Req0!X92+Req0!X93)/(Req2!X87+Req2!X88+Req2!X89+Req2!X90+Req2!X91+Req2!X92+Req2!X93)</f>
        <v>29.882351653696496</v>
      </c>
      <c r="Y46" s="114">
        <f>(Req0!Y87+Req0!Y88+Req0!Y89+Req0!Y90+Req0!Y91+Req0!Y92+Req0!Y93)/(Req2!Y87+Req2!Y88+Req2!Y89+Req2!Y90+Req2!Y91+Req2!Y92+Req2!Y93)</f>
        <v>30.98850181488203</v>
      </c>
      <c r="Z46" s="114">
        <f>(Req0!Z87+Req0!Z88+Req0!Z89+Req0!Z90+Req0!Z91+Req0!Z92+Req0!Z93)/(Req2!Z87+Req2!Z88+Req2!Z89+Req2!Z90+Req2!Z91+Req2!Z92+Req2!Z93)</f>
        <v>29.122539205702648</v>
      </c>
      <c r="AA46" s="114">
        <f>(Req0!AA87+Req0!AA88+Req0!AA89+Req0!AA90+Req0!AA91+Req0!AA92+Req0!AA93)/(Req2!AA87+Req2!AA88+Req2!AA89+Req2!AA90+Req2!AA91+Req2!AA92+Req2!AA93)</f>
        <v>28.62516513761468</v>
      </c>
      <c r="AB46" s="114">
        <f>(Req0!AB87+Req0!AB88+Req0!AB89+Req0!AB90+Req0!AB91+Req0!AB92+Req0!AB93)/(Req2!AB87+Req2!AB88+Req2!AB89+Req2!AB90+Req2!AB91+Req2!AB92+Req2!AB93)</f>
        <v>27.90870565862709</v>
      </c>
      <c r="AC46" s="114">
        <f>(Req0!AC87+Req0!AC88+Req0!AC89+Req0!AC90+Req0!AC91+Req0!AC92+Req0!AC93)/(Req2!AC87+Req2!AC88+Req2!AC89+Req2!AC90+Req2!AC91+Req2!AC92+Req2!AC93)</f>
        <v>26.90093266129032</v>
      </c>
      <c r="AD46" s="114">
        <f>(Req0!AD87+Req0!AD88+Req0!AD89+Req0!AD90+Req0!AD91+Req0!AD92+Req0!AD93)/(Req2!AD87+Req2!AD88+Req2!AD89+Req2!AD90+Req2!AD91+Req2!AD92+Req2!AD93)</f>
        <v>26.75054016933208</v>
      </c>
      <c r="AE46" s="114">
        <f>(Req0!AE87+Req0!AE88+Req0!AE89+Req0!AE90+Req0!AE91+Req0!AE92+Req0!AE93)/(Req2!AE87+Req2!AE88+Req2!AE89+Req2!AE90+Req2!AE91+Req2!AE92+Req2!AE93)</f>
        <v>25.52065019379845</v>
      </c>
      <c r="AF46" s="114">
        <f>(Req0!AF87+Req0!AF88+Req0!AF89+Req0!AF90+Req0!AF91+Req0!AF92+Req0!AF93)/(Req2!AF87+Req2!AF88+Req2!AF89+Req2!AF90+Req2!AF91+Req2!AF92+Req2!AF93)</f>
        <v>25.820392657992564</v>
      </c>
      <c r="AG46" s="114">
        <f>(Req0!AG87+Req0!AG88+Req0!AG89+Req0!AG90+Req0!AG91+Req0!AG92+Req0!AG93)/(Req2!AG87+Req2!AG88+Req2!AG89+Req2!AG90+Req2!AG91+Req2!AG92+Req2!AG93)</f>
        <v>24.498021367521368</v>
      </c>
      <c r="AH46" s="114">
        <f>(Req0!AH87+Req0!AH88+Req0!AH89+Req0!AH90+Req0!AH91+Req0!AH92+Req0!AH93)/(Req2!AH87+Req2!AH88+Req2!AH89+Req2!AH90+Req2!AH91+Req2!AH92+Req2!AH93)</f>
        <v>24.18756424302789</v>
      </c>
      <c r="AI46" s="114">
        <f>(Req0!AI87+Req0!AI88+Req0!AI89+Req0!AI90+Req0!AI91+Req0!AI92+Req0!AI93)/(Req2!AI87+Req2!AI88+Req2!AI89+Req2!AI90+Req2!AI91+Req2!AI92+Req2!AI93)</f>
        <v>25.67382093023256</v>
      </c>
    </row>
    <row r="47" spans="2:35" ht="13.5" thickBot="1">
      <c r="B47" s="35" t="s">
        <v>108</v>
      </c>
      <c r="C47" s="115">
        <f>IF(Req2!C94=0,"",(Req0!C94)/(Req2!C94))</f>
      </c>
      <c r="D47" s="115">
        <f>IF(Req2!D94=0,"",(Req0!D94)/(Req2!D94))</f>
      </c>
      <c r="E47" s="115">
        <f>IF(Req2!E94=0,"",(Req0!E94)/(Req2!E94))</f>
      </c>
      <c r="F47" s="115">
        <f>IF(Req2!F94=0,"",(Req0!F94)/(Req2!F94))</f>
      </c>
      <c r="G47" s="115">
        <f>IF(Req2!G94=0,"",(Req0!G94)/(Req2!G94))</f>
      </c>
      <c r="H47" s="115">
        <f>IF(Req2!H94=0,"",(Req0!H94)/(Req2!H94))</f>
      </c>
      <c r="I47" s="115">
        <f>IF(Req2!I94=0,"",(Req0!I94)/(Req2!I94))</f>
      </c>
      <c r="J47" s="115">
        <f>IF(Req2!J94=0,"",(Req0!J94)/(Req2!J94))</f>
      </c>
      <c r="K47" s="115">
        <f>IF(Req2!K94=0,"",(Req0!K94)/(Req2!K94))</f>
      </c>
      <c r="L47" s="115">
        <f>IF(Req2!L94=0,"",(Req0!L94)/(Req2!L94))</f>
      </c>
      <c r="M47" s="115">
        <f>IF(Req2!M94=0,"",(Req0!M94)/(Req2!M94))</f>
      </c>
      <c r="N47" s="115">
        <f>IF(Req2!N94=0,"",(Req0!N94)/(Req2!N94))</f>
      </c>
      <c r="O47" s="115">
        <f>IF(Req2!O94=0,"",(Req0!O94)/(Req2!O94))</f>
      </c>
      <c r="P47" s="115">
        <f>IF(Req2!P94=0,"",(Req0!P94)/(Req2!P94))</f>
      </c>
      <c r="Q47" s="115">
        <f>IF(Req2!Q94=0,"",(Req0!Q94)/(Req2!Q94))</f>
      </c>
      <c r="R47" s="115">
        <f>IF(Req2!R94=0,"",(Req0!R94)/(Req2!R94))</f>
      </c>
      <c r="S47" s="115">
        <f>IF(Req2!S94=0,"",(Req0!S94)/(Req2!S94))</f>
      </c>
      <c r="T47" s="115">
        <f>IF(Req2!T94=0,"",(Req0!T94)/(Req2!T94))</f>
      </c>
      <c r="U47" s="115">
        <f>IF(Req2!U94=0,"",(Req0!U94)/(Req2!U94))</f>
      </c>
      <c r="V47" s="115">
        <f>IF(Req2!V94=0,"",(Req0!V94)/(Req2!V94))</f>
      </c>
      <c r="W47" s="115">
        <f>IF(Req2!W94=0,"",(Req0!W94)/(Req2!W94))</f>
      </c>
      <c r="X47" s="115">
        <f>IF(Req2!X94=0,"",(Req0!X94)/(Req2!X94))</f>
      </c>
      <c r="Y47" s="115">
        <f>IF(Req2!Y94=0,"",(Req0!Y94)/(Req2!Y94))</f>
      </c>
      <c r="Z47" s="115">
        <f>IF(Req2!Z94=0,"",(Req0!Z94)/(Req2!Z94))</f>
      </c>
      <c r="AA47" s="115">
        <f>IF(Req2!AA94=0,"",(Req0!AA94)/(Req2!AA94))</f>
      </c>
      <c r="AB47" s="115">
        <f>IF(Req2!AB94=0,"",(Req0!AB94)/(Req2!AB94))</f>
      </c>
      <c r="AC47" s="115">
        <f>IF(Req2!AC94=0,"",(Req0!AC94)/(Req2!AC94))</f>
      </c>
      <c r="AD47" s="115">
        <f>IF(Req2!AD94=0,"",(Req0!AD94)/(Req2!AD94))</f>
      </c>
      <c r="AE47" s="115">
        <f>IF(Req2!AE94=0,"",(Req0!AE94)/(Req2!AE94))</f>
      </c>
      <c r="AF47" s="115">
        <f>IF(Req2!AF94=0,"",(Req0!AF94)/(Req2!AF94))</f>
      </c>
      <c r="AG47" s="115">
        <f>IF(Req2!AG94=0,"",(Req0!AG94)/(Req2!AG94))</f>
      </c>
      <c r="AH47" s="115">
        <f>IF(Req2!AH94=0,"",(Req0!AH94)/(Req2!AH94))</f>
      </c>
      <c r="AI47" s="115">
        <f>IF(Req2!AI94=0,"",(Req0!AI94)/(Req2!AI94))</f>
        <v>35.049</v>
      </c>
    </row>
    <row r="48" spans="2:35" ht="13.5" thickTop="1">
      <c r="B48" s="37" t="s">
        <v>36</v>
      </c>
      <c r="C48" s="116">
        <f>Req0!C108/Req2!C108</f>
        <v>70.45403483175605</v>
      </c>
      <c r="D48" s="116">
        <f>Req0!D108/Req2!D108</f>
        <v>76.9142982093664</v>
      </c>
      <c r="E48" s="116">
        <f>Req0!E108/Req2!E108</f>
        <v>73.41899402056924</v>
      </c>
      <c r="F48" s="116">
        <f>Req0!F108/Req2!F108</f>
        <v>74.48518249045802</v>
      </c>
      <c r="G48" s="116">
        <f>Req0!G108/Req2!G108</f>
        <v>75.28063732057417</v>
      </c>
      <c r="H48" s="116">
        <f>Req0!H108/Req2!H108</f>
        <v>74.60724779394228</v>
      </c>
      <c r="I48" s="116">
        <f>Req0!I108/Req2!I108</f>
        <v>74.5307273036768</v>
      </c>
      <c r="J48" s="116">
        <f>Req0!J108/Req2!J108</f>
        <v>76.92869422242521</v>
      </c>
      <c r="K48" s="116">
        <f>Req0!K108/Req2!K108</f>
        <v>75.916544256991</v>
      </c>
      <c r="L48" s="116">
        <f>Req0!L108/Req2!L108</f>
        <v>74.84383967591455</v>
      </c>
      <c r="M48" s="116">
        <f>Req0!M108/Req2!M108</f>
        <v>80.18303518356643</v>
      </c>
      <c r="N48" s="116">
        <f>Req0!N108/Req2!N108</f>
        <v>77.19409710144927</v>
      </c>
      <c r="O48" s="116">
        <f>Req0!O108/Req2!O108</f>
        <v>79.3787211705831</v>
      </c>
      <c r="P48" s="116">
        <f>Req0!P108/Req2!P108</f>
        <v>76.95404412726084</v>
      </c>
      <c r="Q48" s="116">
        <f>Req0!Q108/Req2!Q108</f>
        <v>76.31933909361412</v>
      </c>
      <c r="R48" s="116">
        <f>Req0!R108/Req2!R108</f>
        <v>79.80628841030196</v>
      </c>
      <c r="S48" s="116">
        <f>Req0!S108/Req2!S108</f>
        <v>78.7569023116248</v>
      </c>
      <c r="T48" s="116">
        <f>Req0!T108/Req2!T108</f>
        <v>77.9085643844933</v>
      </c>
      <c r="U48" s="116">
        <f>Req0!U108/Req2!U108</f>
        <v>78.48618966267681</v>
      </c>
      <c r="V48" s="116">
        <f>Req0!V108/Req2!V108</f>
        <v>79.42866438504997</v>
      </c>
      <c r="W48" s="116">
        <f>Req0!W108/Req2!W108</f>
        <v>78.42212963369161</v>
      </c>
      <c r="X48" s="116">
        <f>Req0!X108/Req2!X108</f>
        <v>77.39880051871899</v>
      </c>
      <c r="Y48" s="116">
        <f>Req0!Y108/Req2!Y108</f>
        <v>80.9940993899874</v>
      </c>
      <c r="Z48" s="116">
        <f>Req0!Z108/Req2!Z108</f>
        <v>78.82809035863998</v>
      </c>
      <c r="AA48" s="116">
        <f>Req0!AA108/Req2!AA108</f>
        <v>81.71302085505737</v>
      </c>
      <c r="AB48" s="116">
        <f>Req0!AB108/Req2!AB108</f>
        <v>80.29280402627674</v>
      </c>
      <c r="AC48" s="116">
        <f>Req0!AC108/Req2!AC108</f>
        <v>76.99530928792568</v>
      </c>
      <c r="AD48" s="116">
        <f>Req0!AD108/Req2!AD108</f>
        <v>77.9096258766371</v>
      </c>
      <c r="AE48" s="116">
        <f>Req0!AE108/Req2!AE108</f>
        <v>74.34584511245676</v>
      </c>
      <c r="AF48" s="116">
        <f>Req0!AF108/Req2!AF108</f>
        <v>76.52387073968123</v>
      </c>
      <c r="AG48" s="116">
        <f>Req0!AG108/Req2!AG108</f>
        <v>74.06346502525253</v>
      </c>
      <c r="AH48" s="116">
        <f>Req0!AH108/Req2!AH108</f>
        <v>71.64985041196877</v>
      </c>
      <c r="AI48" s="116">
        <f>Req0!AI108/Req2!AI108</f>
        <v>75.20905410125589</v>
      </c>
    </row>
    <row r="49" spans="2:35" s="14" customFormat="1" ht="26.25" thickBot="1">
      <c r="B49" s="49" t="s">
        <v>37</v>
      </c>
      <c r="C49" s="117">
        <f>(Req0!C66+Req0!C67+Req0!C68+Req0!C69+Req0!C70+Req0!C71+Req0!C72)/(Req2!C66+Req2!C67+Req2!C68+Req2!C69+Req2!C70+Req2!C71+Req2!C72)</f>
        <v>77.40792747001714</v>
      </c>
      <c r="D49" s="117">
        <f>(Req0!D66+Req0!D67+Req0!D68+Req0!D69+Req0!D70+Req0!D71+Req0!D72)/(Req2!D66+Req2!D67+Req2!D68+Req2!D69+Req2!D70+Req2!D71+Req2!D72)</f>
        <v>86.0655124428644</v>
      </c>
      <c r="E49" s="117">
        <f>(Req0!E66+Req0!E67+Req0!E68+Req0!E69+Req0!E70+Req0!E71+Req0!E72)/(Req2!E66+Req2!E67+Req2!E68+Req2!E69+Req2!E70+Req2!E71+Req2!E72)</f>
        <v>79.91876016469378</v>
      </c>
      <c r="F49" s="117">
        <f>(Req0!F66+Req0!F67+Req0!F68+Req0!F69+Req0!F70+Req0!F71+Req0!F72)/(Req2!F66+Req2!F67+Req2!F68+Req2!F69+Req2!F70+Req2!F71+Req2!F72)</f>
        <v>81.87083410973085</v>
      </c>
      <c r="G49" s="117">
        <f>(Req0!G66+Req0!G67+Req0!G68+Req0!G69+Req0!G70+Req0!G71+Req0!G72)/(Req2!G66+Req2!G67+Req2!G68+Req2!G69+Req2!G70+Req2!G71+Req2!G72)</f>
        <v>84.15995173333334</v>
      </c>
      <c r="H49" s="117">
        <f>(Req0!H66+Req0!H67+Req0!H68+Req0!H69+Req0!H70+Req0!H71+Req0!H72)/(Req2!H66+Req2!H67+Req2!H68+Req2!H69+Req2!H70+Req2!H71+Req2!H72)</f>
        <v>82.4816157262278</v>
      </c>
      <c r="I49" s="117">
        <f>(Req0!I66+Req0!I67+Req0!I68+Req0!I69+Req0!I70+Req0!I71+Req0!I72)/(Req2!I66+Req2!I67+Req2!I68+Req2!I69+Req2!I70+Req2!I71+Req2!I72)</f>
        <v>82.34207339679358</v>
      </c>
      <c r="J49" s="117">
        <f>(Req0!J66+Req0!J67+Req0!J68+Req0!J69+Req0!J70+Req0!J71+Req0!J72)/(Req2!J66+Req2!J67+Req2!J68+Req2!J69+Req2!J70+Req2!J71+Req2!J72)</f>
        <v>84.60945860511791</v>
      </c>
      <c r="K49" s="117">
        <f>(Req0!K66+Req0!K67+Req0!K68+Req0!K69+Req0!K70+Req0!K71+Req0!K72)/(Req2!K66+Req2!K67+Req2!K68+Req2!K69+Req2!K70+Req2!K71+Req2!K72)</f>
        <v>85.06397230848862</v>
      </c>
      <c r="L49" s="117">
        <f>(Req0!L66+Req0!L67+Req0!L68+Req0!L69+Req0!L70+Req0!L71+Req0!L72)/(Req2!L66+Req2!L67+Req2!L68+Req2!L69+Req2!L70+Req2!L71+Req2!L72)</f>
        <v>83.3123607523863</v>
      </c>
      <c r="M49" s="117">
        <f>(Req0!M66+Req0!M67+Req0!M68+Req0!M69+Req0!M70+Req0!M71+Req0!M72)/(Req2!M66+Req2!M67+Req2!M68+Req2!M69+Req2!M70+Req2!M71+Req2!M72)</f>
        <v>88.28013735177865</v>
      </c>
      <c r="N49" s="117">
        <f>(Req0!N66+Req0!N67+Req0!N68+Req0!N69+Req0!N70+Req0!N71+Req0!N72)/(Req2!N66+Req2!N67+Req2!N68+Req2!N69+Req2!N70+Req2!N71+Req2!N72)</f>
        <v>86.02537980522808</v>
      </c>
      <c r="O49" s="117">
        <f>(Req0!O66+Req0!O67+Req0!O68+Req0!O69+Req0!O70+Req0!O71+Req0!O72)/(Req2!O66+Req2!O67+Req2!O68+Req2!O69+Req2!O70+Req2!O71+Req2!O72)</f>
        <v>86.4783464035964</v>
      </c>
      <c r="P49" s="117">
        <f>(Req0!P66+Req0!P67+Req0!P68+Req0!P69+Req0!P70+Req0!P71+Req0!P72)/(Req2!P66+Req2!P67+Req2!P68+Req2!P69+Req2!P70+Req2!P71+Req2!P72)</f>
        <v>82.52107663316583</v>
      </c>
      <c r="Q49" s="117">
        <f>(Req0!Q66+Req0!Q67+Req0!Q68+Req0!Q69+Req0!Q70+Req0!Q71+Req0!Q72)/(Req2!Q66+Req2!Q67+Req2!Q68+Req2!Q69+Req2!Q70+Req2!Q71+Req2!Q72)</f>
        <v>79.872619813278</v>
      </c>
      <c r="R49" s="117">
        <f>(Req0!R66+Req0!R67+Req0!R68+Req0!R69+Req0!R70+Req0!R71+Req0!R72)/(Req2!R66+Req2!R67+Req2!R68+Req2!R69+Req2!R70+Req2!R71+Req2!R72)</f>
        <v>84.30596562184024</v>
      </c>
      <c r="S49" s="117">
        <f>(Req0!S66+Req0!S67+Req0!S68+Req0!S69+Req0!S70+Req0!S71+Req0!S72)/(Req2!S66+Req2!S67+Req2!S68+Req2!S69+Req2!S70+Req2!S71+Req2!S72)</f>
        <v>84.39997948051949</v>
      </c>
      <c r="T49" s="117">
        <f>(Req0!T66+Req0!T67+Req0!T68+Req0!T69+Req0!T70+Req0!T71+Req0!T72)/(Req2!T66+Req2!T67+Req2!T68+Req2!T69+Req2!T70+Req2!T71+Req2!T72)</f>
        <v>83.38694559447983</v>
      </c>
      <c r="U49" s="117">
        <f>(Req0!U66+Req0!U67+Req0!U68+Req0!U69+Req0!U70+Req0!U71+Req0!U72)/(Req2!U66+Req2!U67+Req2!U68+Req2!U69+Req2!U70+Req2!U71+Req2!U72)</f>
        <v>82.68800729743332</v>
      </c>
      <c r="V49" s="117">
        <f>(Req0!V66+Req0!V67+Req0!V68+Req0!V69+Req0!V70+Req0!V71+Req0!V72)/(Req2!V66+Req2!V67+Req2!V68+Req2!V69+Req2!V70+Req2!V71+Req2!V72)</f>
        <v>82.55525272007912</v>
      </c>
      <c r="W49" s="117">
        <f>(Req0!W66+Req0!W67+Req0!W68+Req0!W69+Req0!W70+Req0!W71+Req0!W72)/(Req2!W66+Req2!W67+Req2!W68+Req2!W69+Req2!W70+Req2!W71+Req2!W72)</f>
        <v>82.16480786918753</v>
      </c>
      <c r="X49" s="117">
        <f>(Req0!X66+Req0!X67+Req0!X68+Req0!X69+Req0!X70+Req0!X71+Req0!X72)/(Req2!X66+Req2!X67+Req2!X68+Req2!X69+Req2!X70+Req2!X71+Req2!X72)</f>
        <v>79.64505693199789</v>
      </c>
      <c r="Y49" s="117">
        <f>(Req0!Y66+Req0!Y67+Req0!Y68+Req0!Y69+Req0!Y70+Req0!Y71+Req0!Y72)/(Req2!Y66+Req2!Y67+Req2!Y68+Req2!Y69+Req2!Y70+Req2!Y71+Req2!Y72)</f>
        <v>83.64916246215942</v>
      </c>
      <c r="Z49" s="117">
        <f>(Req0!Z66+Req0!Z67+Req0!Z68+Req0!Z69+Req0!Z70+Req0!Z71+Req0!Z72)/(Req2!Z66+Req2!Z67+Req2!Z68+Req2!Z69+Req2!Z70+Req2!Z71+Req2!Z72)</f>
        <v>81.33843763919822</v>
      </c>
      <c r="AA49" s="117">
        <f>(Req0!AA66+Req0!AA67+Req0!AA68+Req0!AA69+Req0!AA70+Req0!AA71+Req0!AA72)/(Req2!AA66+Req2!AA67+Req2!AA68+Req2!AA69+Req2!AA70+Req2!AA71+Req2!AA72)</f>
        <v>83.45057016658254</v>
      </c>
      <c r="AB49" s="117">
        <f>(Req0!AB66+Req0!AB67+Req0!AB68+Req0!AB69+Req0!AB70+Req0!AB71+Req0!AB72)/(Req2!AB66+Req2!AB67+Req2!AB68+Req2!AB69+Req2!AB70+Req2!AB71+Req2!AB72)</f>
        <v>84.89077444794952</v>
      </c>
      <c r="AC49" s="117">
        <f>(Req0!AC66+Req0!AC67+Req0!AC68+Req0!AC69+Req0!AC70+Req0!AC71+Req0!AC72)/(Req2!AC66+Req2!AC67+Req2!AC68+Req2!AC69+Req2!AC70+Req2!AC71+Req2!AC72)</f>
        <v>78.74210097192224</v>
      </c>
      <c r="AD49" s="117">
        <f>(Req0!AD66+Req0!AD67+Req0!AD68+Req0!AD69+Req0!AD70+Req0!AD71+Req0!AD72)/(Req2!AD66+Req2!AD67+Req2!AD68+Req2!AD69+Req2!AD70+Req2!AD71+Req2!AD72)</f>
        <v>76.62572071837586</v>
      </c>
      <c r="AE49" s="117">
        <f>(Req0!AE66+Req0!AE67+Req0!AE68+Req0!AE69+Req0!AE70+Req0!AE71+Req0!AE72)/(Req2!AE66+Req2!AE67+Req2!AE68+Req2!AE69+Req2!AE70+Req2!AE71+Req2!AE72)</f>
        <v>73.10179761775855</v>
      </c>
      <c r="AF49" s="117">
        <f>(Req0!AF66+Req0!AF67+Req0!AF68+Req0!AF69+Req0!AF70+Req0!AF71+Req0!AF72)/(Req2!AF66+Req2!AF67+Req2!AF68+Req2!AF69+Req2!AF70+Req2!AF71+Req2!AF72)</f>
        <v>73.70147928753181</v>
      </c>
      <c r="AG49" s="117">
        <f>(Req0!AG66+Req0!AG67+Req0!AG68+Req0!AG69+Req0!AG70+Req0!AG71+Req0!AG72)/(Req2!AG66+Req2!AG67+Req2!AG68+Req2!AG69+Req2!AG70+Req2!AG71+Req2!AG72)</f>
        <v>71.09054396008403</v>
      </c>
      <c r="AH49" s="117">
        <f>(Req0!AH66+Req0!AH67+Req0!AH68+Req0!AH69+Req0!AH70+Req0!AH71+Req0!AH72)/(Req2!AH66+Req2!AH67+Req2!AH68+Req2!AH69+Req2!AH70+Req2!AH71+Req2!AH72)</f>
        <v>69.21359415862808</v>
      </c>
      <c r="AI49" s="117">
        <f>(Req0!AI66+Req0!AI67+Req0!AI68+Req0!AI69+Req0!AI70+Req0!AI71+Req0!AI72)/(Req2!AI66+Req2!AI67+Req2!AI68+Req2!AI69+Req2!AI70+Req2!AI71+Req2!AI72)</f>
        <v>71.82336989869755</v>
      </c>
    </row>
    <row r="50" spans="2:35" s="14" customFormat="1" ht="39.75" thickBot="1" thickTop="1">
      <c r="B50" s="49" t="s">
        <v>68</v>
      </c>
      <c r="C50" s="117">
        <f>(Req0!C66+Req0!C67+Req0!C68+Req0!C69+Req0!C70+Req0!C71+Req0!C73+Req0!C74+Req0!C75+Req0!C76+Req0!C77+Req0!C78+Req0!C79+Req0!C80+Req0!C81+Req0!C82)/(Req2!C66+Req2!C67+Req2!C68+Req2!C69+Req2!C70+Req2!C71+Req2!C73+Req2!C74+Req2!C75+Req2!C76+Req2!C77+Req2!C78+Req2!C79+Req2!C80+Req2!C81+Req2!C82)</f>
        <v>85.2523585912487</v>
      </c>
      <c r="D50" s="117">
        <f>(Req0!D66+Req0!D67+Req0!D68+Req0!D69+Req0!D70+Req0!D71+Req0!D73+Req0!D74+Req0!D75+Req0!D76+Req0!D77+Req0!D78+Req0!D79+Req0!D80+Req0!D81+Req0!D82)/(Req2!D66+Req2!D67+Req2!D68+Req2!D69+Req2!D70+Req2!D71+Req2!D73+Req2!D74+Req2!D75+Req2!D76+Req2!D77+Req2!D78+Req2!D79+Req2!D80+Req2!D81+Req2!D82)</f>
        <v>94.39503489468721</v>
      </c>
      <c r="E50" s="117">
        <f>(Req0!E66+Req0!E67+Req0!E68+Req0!E69+Req0!E70+Req0!E71+Req0!E73+Req0!E74+Req0!E75+Req0!E76+Req0!E77+Req0!E78+Req0!E79+Req0!E80+Req0!E81+Req0!E82)/(Req2!E66+Req2!E67+Req2!E68+Req2!E69+Req2!E70+Req2!E71+Req2!E73+Req2!E74+Req2!E75+Req2!E76+Req2!E77+Req2!E78+Req2!E79+Req2!E80+Req2!E81+Req2!E82)</f>
        <v>87.97008635052866</v>
      </c>
      <c r="F50" s="117">
        <f>(Req0!F66+Req0!F67+Req0!F68+Req0!F69+Req0!F70+Req0!F71+Req0!F73+Req0!F74+Req0!F75+Req0!F76+Req0!F77+Req0!F78+Req0!F79+Req0!F80+Req0!F81+Req0!F82)/(Req2!F66+Req2!F67+Req2!F68+Req2!F69+Req2!F70+Req2!F71+Req2!F73+Req2!F74+Req2!F75+Req2!F76+Req2!F77+Req2!F78+Req2!F79+Req2!F80+Req2!F81+Req2!F82)</f>
        <v>90.33509266409264</v>
      </c>
      <c r="G50" s="117">
        <f>(Req0!G66+Req0!G67+Req0!G68+Req0!G69+Req0!G70+Req0!G71+Req0!G73+Req0!G74+Req0!G75+Req0!G76+Req0!G77+Req0!G78+Req0!G79+Req0!G80+Req0!G81+Req0!G82)/(Req2!G66+Req2!G67+Req2!G68+Req2!G69+Req2!G70+Req2!G71+Req2!G73+Req2!G74+Req2!G75+Req2!G76+Req2!G77+Req2!G78+Req2!G79+Req2!G80+Req2!G81+Req2!G82)</f>
        <v>92.06912276131555</v>
      </c>
      <c r="H50" s="117">
        <f>(Req0!H66+Req0!H67+Req0!H68+Req0!H69+Req0!H70+Req0!H71+Req0!H73+Req0!H74+Req0!H75+Req0!H76+Req0!H77+Req0!H78+Req0!H79+Req0!H80+Req0!H81+Req0!H82)/(Req2!H66+Req2!H67+Req2!H68+Req2!H69+Req2!H70+Req2!H71+Req2!H73+Req2!H74+Req2!H75+Req2!H76+Req2!H77+Req2!H78+Req2!H79+Req2!H80+Req2!H81+Req2!H82)</f>
        <v>90.31745536287733</v>
      </c>
      <c r="I50" s="117">
        <f>(Req0!I66+Req0!I67+Req0!I68+Req0!I69+Req0!I70+Req0!I71+Req0!I73+Req0!I74+Req0!I75+Req0!I76+Req0!I77+Req0!I78+Req0!I79+Req0!I80+Req0!I81+Req0!I82)/(Req2!I66+Req2!I67+Req2!I68+Req2!I69+Req2!I70+Req2!I71+Req2!I73+Req2!I74+Req2!I75+Req2!I76+Req2!I77+Req2!I78+Req2!I79+Req2!I80+Req2!I81+Req2!I82)</f>
        <v>90.74460859519408</v>
      </c>
      <c r="J50" s="117">
        <f>(Req0!J66+Req0!J67+Req0!J68+Req0!J69+Req0!J70+Req0!J71+Req0!J73+Req0!J74+Req0!J75+Req0!J76+Req0!J77+Req0!J78+Req0!J79+Req0!J80+Req0!J81+Req0!J82)/(Req2!J66+Req2!J67+Req2!J68+Req2!J69+Req2!J70+Req2!J71+Req2!J73+Req2!J74+Req2!J75+Req2!J76+Req2!J77+Req2!J78+Req2!J79+Req2!J80+Req2!J81+Req2!J82)</f>
        <v>93.3971317171093</v>
      </c>
      <c r="K50" s="117">
        <f>(Req0!K66+Req0!K67+Req0!K68+Req0!K69+Req0!K70+Req0!K71+Req0!K73+Req0!K74+Req0!K75+Req0!K76+Req0!K77+Req0!K78+Req0!K79+Req0!K80+Req0!K81+Req0!K82)/(Req2!K66+Req2!K67+Req2!K68+Req2!K69+Req2!K70+Req2!K71+Req2!K73+Req2!K74+Req2!K75+Req2!K76+Req2!K77+Req2!K78+Req2!K79+Req2!K80+Req2!K81+Req2!K82)</f>
        <v>91.7774493611717</v>
      </c>
      <c r="L50" s="117">
        <f>(Req0!L66+Req0!L67+Req0!L68+Req0!L69+Req0!L70+Req0!L71+Req0!L73+Req0!L74+Req0!L75+Req0!L76+Req0!L77+Req0!L78+Req0!L79+Req0!L80+Req0!L81+Req0!L82)/(Req2!L66+Req2!L67+Req2!L68+Req2!L69+Req2!L70+Req2!L71+Req2!L73+Req2!L74+Req2!L75+Req2!L76+Req2!L77+Req2!L78+Req2!L79+Req2!L80+Req2!L81+Req2!L82)</f>
        <v>89.92684334550283</v>
      </c>
      <c r="M50" s="117">
        <f>(Req0!M66+Req0!M67+Req0!M68+Req0!M69+Req0!M70+Req0!M71+Req0!M73+Req0!M74+Req0!M75+Req0!M76+Req0!M77+Req0!M78+Req0!M79+Req0!M80+Req0!M81+Req0!M82)/(Req2!M66+Req2!M67+Req2!M68+Req2!M69+Req2!M70+Req2!M71+Req2!M73+Req2!M74+Req2!M75+Req2!M76+Req2!M77+Req2!M78+Req2!M79+Req2!M80+Req2!M81+Req2!M82)</f>
        <v>96.65607861822511</v>
      </c>
      <c r="N50" s="117">
        <f>(Req0!N66+Req0!N67+Req0!N68+Req0!N69+Req0!N70+Req0!N71+Req0!N73+Req0!N74+Req0!N75+Req0!N76+Req0!N77+Req0!N78+Req0!N79+Req0!N80+Req0!N81+Req0!N82)/(Req2!N66+Req2!N67+Req2!N68+Req2!N69+Req2!N70+Req2!N71+Req2!N73+Req2!N74+Req2!N75+Req2!N76+Req2!N77+Req2!N78+Req2!N79+Req2!N80+Req2!N81+Req2!N82)</f>
        <v>91.2698215892054</v>
      </c>
      <c r="O50" s="117">
        <f>(Req0!O66+Req0!O67+Req0!O68+Req0!O69+Req0!O70+Req0!O71+Req0!O73+Req0!O74+Req0!O75+Req0!O76+Req0!O77+Req0!O78+Req0!O79+Req0!O80+Req0!O81+Req0!O82)/(Req2!O66+Req2!O67+Req2!O68+Req2!O69+Req2!O70+Req2!O71+Req2!O73+Req2!O74+Req2!O75+Req2!O76+Req2!O77+Req2!O78+Req2!O79+Req2!O80+Req2!O81+Req2!O82)</f>
        <v>94.05875419982317</v>
      </c>
      <c r="P50" s="117">
        <f>(Req0!P66+Req0!P67+Req0!P68+Req0!P69+Req0!P70+Req0!P71+Req0!P73+Req0!P74+Req0!P75+Req0!P76+Req0!P77+Req0!P78+Req0!P79+Req0!P80+Req0!P81+Req0!P82)/(Req2!P66+Req2!P67+Req2!P68+Req2!P69+Req2!P70+Req2!P71+Req2!P73+Req2!P74+Req2!P75+Req2!P76+Req2!P77+Req2!P78+Req2!P79+Req2!P80+Req2!P81+Req2!P82)</f>
        <v>90.39577455882353</v>
      </c>
      <c r="Q50" s="117">
        <f>(Req0!Q66+Req0!Q67+Req0!Q68+Req0!Q69+Req0!Q70+Req0!Q71+Req0!Q73+Req0!Q74+Req0!Q75+Req0!Q76+Req0!Q77+Req0!Q78+Req0!Q79+Req0!Q80+Req0!Q81+Req0!Q82)/(Req2!Q66+Req2!Q67+Req2!Q68+Req2!Q69+Req2!Q70+Req2!Q71+Req2!Q73+Req2!Q74+Req2!Q75+Req2!Q76+Req2!Q77+Req2!Q78+Req2!Q79+Req2!Q80+Req2!Q81+Req2!Q82)</f>
        <v>89.40369600866337</v>
      </c>
      <c r="R50" s="117">
        <f>(Req0!R66+Req0!R67+Req0!R68+Req0!R69+Req0!R70+Req0!R71+Req0!R73+Req0!R74+Req0!R75+Req0!R76+Req0!R77+Req0!R78+Req0!R79+Req0!R80+Req0!R81+Req0!R82)/(Req2!R66+Req2!R67+Req2!R68+Req2!R69+Req2!R70+Req2!R71+Req2!R73+Req2!R74+Req2!R75+Req2!R76+Req2!R77+Req2!R78+Req2!R79+Req2!R80+Req2!R81+Req2!R82)</f>
        <v>93.8225578313253</v>
      </c>
      <c r="S50" s="117">
        <f>(Req0!S66+Req0!S67+Req0!S68+Req0!S69+Req0!S70+Req0!S71+Req0!S73+Req0!S74+Req0!S75+Req0!S76+Req0!S77+Req0!S78+Req0!S79+Req0!S80+Req0!S81+Req0!S82)/(Req2!S66+Req2!S67+Req2!S68+Req2!S69+Req2!S70+Req2!S71+Req2!S73+Req2!S74+Req2!S75+Req2!S76+Req2!S77+Req2!S78+Req2!S79+Req2!S80+Req2!S81+Req2!S82)</f>
        <v>93.22154446821519</v>
      </c>
      <c r="T50" s="117">
        <f>(Req0!T66+Req0!T67+Req0!T68+Req0!T69+Req0!T70+Req0!T71+Req0!T73+Req0!T74+Req0!T75+Req0!T76+Req0!T77+Req0!T78+Req0!T79+Req0!T80+Req0!T81+Req0!T82)/(Req2!T66+Req2!T67+Req2!T68+Req2!T69+Req2!T70+Req2!T71+Req2!T73+Req2!T74+Req2!T75+Req2!T76+Req2!T77+Req2!T78+Req2!T79+Req2!T80+Req2!T81+Req2!T82)</f>
        <v>92.03807877461705</v>
      </c>
      <c r="U50" s="117">
        <f>(Req0!U66+Req0!U67+Req0!U68+Req0!U69+Req0!U70+Req0!U71+Req0!U73+Req0!U74+Req0!U75+Req0!U76+Req0!U77+Req0!U78+Req0!U79+Req0!U80+Req0!U81+Req0!U82)/(Req2!U66+Req2!U67+Req2!U68+Req2!U69+Req2!U70+Req2!U71+Req2!U73+Req2!U74+Req2!U75+Req2!U76+Req2!U77+Req2!U78+Req2!U79+Req2!U80+Req2!U81+Req2!U82)</f>
        <v>92.13205466190048</v>
      </c>
      <c r="V50" s="117">
        <f>(Req0!V66+Req0!V67+Req0!V68+Req0!V69+Req0!V70+Req0!V71+Req0!V73+Req0!V74+Req0!V75+Req0!V76+Req0!V77+Req0!V78+Req0!V79+Req0!V80+Req0!V81+Req0!V82)/(Req2!V66+Req2!V67+Req2!V68+Req2!V69+Req2!V70+Req2!V71+Req2!V73+Req2!V74+Req2!V75+Req2!V76+Req2!V77+Req2!V78+Req2!V79+Req2!V80+Req2!V81+Req2!V82)</f>
        <v>93.30501016746412</v>
      </c>
      <c r="W50" s="117">
        <f>(Req0!W66+Req0!W67+Req0!W68+Req0!W69+Req0!W70+Req0!W71+Req0!W73+Req0!W74+Req0!W75+Req0!W76+Req0!W77+Req0!W78+Req0!W79+Req0!W80+Req0!W81+Req0!W82)/(Req2!W66+Req2!W67+Req2!W68+Req2!W69+Req2!W70+Req2!W71+Req2!W73+Req2!W74+Req2!W75+Req2!W76+Req2!W77+Req2!W78+Req2!W79+Req2!W80+Req2!W81+Req2!W82)</f>
        <v>90.9252225710015</v>
      </c>
      <c r="X50" s="117">
        <f>(Req0!X66+Req0!X67+Req0!X68+Req0!X69+Req0!X70+Req0!X71+Req0!X73+Req0!X74+Req0!X75+Req0!X76+Req0!X77+Req0!X78+Req0!X79+Req0!X80+Req0!X81+Req0!X82)/(Req2!X66+Req2!X67+Req2!X68+Req2!X69+Req2!X70+Req2!X71+Req2!X73+Req2!X74+Req2!X75+Req2!X76+Req2!X77+Req2!X78+Req2!X79+Req2!X80+Req2!X81+Req2!X82)</f>
        <v>89.4206055727554</v>
      </c>
      <c r="Y50" s="117">
        <f>(Req0!Y66+Req0!Y67+Req0!Y68+Req0!Y69+Req0!Y70+Req0!Y71+Req0!Y73+Req0!Y74+Req0!Y75+Req0!Y76+Req0!Y77+Req0!Y78+Req0!Y79+Req0!Y80+Req0!Y81+Req0!Y82)/(Req2!Y66+Req2!Y67+Req2!Y68+Req2!Y69+Req2!Y70+Req2!Y71+Req2!Y73+Req2!Y74+Req2!Y75+Req2!Y76+Req2!Y77+Req2!Y78+Req2!Y79+Req2!Y80+Req2!Y81+Req2!Y82)</f>
        <v>92.66286011560693</v>
      </c>
      <c r="Z50" s="117">
        <f>(Req0!Z66+Req0!Z67+Req0!Z68+Req0!Z69+Req0!Z70+Req0!Z71+Req0!Z73+Req0!Z74+Req0!Z75+Req0!Z76+Req0!Z77+Req0!Z78+Req0!Z79+Req0!Z80+Req0!Z81+Req0!Z82)/(Req2!Z66+Req2!Z67+Req2!Z68+Req2!Z69+Req2!Z70+Req2!Z71+Req2!Z73+Req2!Z74+Req2!Z75+Req2!Z76+Req2!Z77+Req2!Z78+Req2!Z79+Req2!Z80+Req2!Z81+Req2!Z82)</f>
        <v>89.46156321473951</v>
      </c>
      <c r="AA50" s="117">
        <f>(Req0!AA66+Req0!AA67+Req0!AA68+Req0!AA69+Req0!AA70+Req0!AA71+Req0!AA73+Req0!AA74+Req0!AA75+Req0!AA76+Req0!AA77+Req0!AA78+Req0!AA79+Req0!AA80+Req0!AA81+Req0!AA82)/(Req2!AA66+Req2!AA67+Req2!AA68+Req2!AA69+Req2!AA70+Req2!AA71+Req2!AA73+Req2!AA74+Req2!AA75+Req2!AA76+Req2!AA77+Req2!AA78+Req2!AA79+Req2!AA80+Req2!AA81+Req2!AA82)</f>
        <v>92.31461369472183</v>
      </c>
      <c r="AB50" s="117">
        <f>(Req0!AB66+Req0!AB67+Req0!AB68+Req0!AB69+Req0!AB70+Req0!AB71+Req0!AB73+Req0!AB74+Req0!AB75+Req0!AB76+Req0!AB77+Req0!AB78+Req0!AB79+Req0!AB80+Req0!AB81+Req0!AB82)/(Req2!AB66+Req2!AB67+Req2!AB68+Req2!AB69+Req2!AB70+Req2!AB71+Req2!AB73+Req2!AB74+Req2!AB75+Req2!AB76+Req2!AB77+Req2!AB78+Req2!AB79+Req2!AB80+Req2!AB81+Req2!AB82)</f>
        <v>90.36656405018964</v>
      </c>
      <c r="AC50" s="117">
        <f>(Req0!AC66+Req0!AC67+Req0!AC68+Req0!AC69+Req0!AC70+Req0!AC71+Req0!AC73+Req0!AC74+Req0!AC75+Req0!AC76+Req0!AC77+Req0!AC78+Req0!AC79+Req0!AC80+Req0!AC81+Req0!AC82)/(Req2!AC66+Req2!AC67+Req2!AC68+Req2!AC69+Req2!AC70+Req2!AC71+Req2!AC73+Req2!AC74+Req2!AC75+Req2!AC76+Req2!AC77+Req2!AC78+Req2!AC79+Req2!AC80+Req2!AC81+Req2!AC82)</f>
        <v>85.56364409900392</v>
      </c>
      <c r="AD50" s="117">
        <f>(Req0!AD66+Req0!AD67+Req0!AD68+Req0!AD69+Req0!AD70+Req0!AD71+Req0!AD73+Req0!AD74+Req0!AD75+Req0!AD76+Req0!AD77+Req0!AD78+Req0!AD79+Req0!AD80+Req0!AD81+Req0!AD82)/(Req2!AD66+Req2!AD67+Req2!AD68+Req2!AD69+Req2!AD70+Req2!AD71+Req2!AD73+Req2!AD74+Req2!AD75+Req2!AD76+Req2!AD77+Req2!AD78+Req2!AD79+Req2!AD80+Req2!AD81+Req2!AD82)</f>
        <v>86.58996142898636</v>
      </c>
      <c r="AE50" s="117">
        <f>(Req0!AE66+Req0!AE67+Req0!AE68+Req0!AE69+Req0!AE70+Req0!AE71+Req0!AE73+Req0!AE74+Req0!AE75+Req0!AE76+Req0!AE77+Req0!AE78+Req0!AE79+Req0!AE80+Req0!AE81+Req0!AE82)/(Req2!AE66+Req2!AE67+Req2!AE68+Req2!AE69+Req2!AE70+Req2!AE71+Req2!AE73+Req2!AE74+Req2!AE75+Req2!AE76+Req2!AE77+Req2!AE78+Req2!AE79+Req2!AE80+Req2!AE81+Req2!AE82)</f>
        <v>82.13779749925574</v>
      </c>
      <c r="AF50" s="117">
        <f>(Req0!AF66+Req0!AF67+Req0!AF68+Req0!AF69+Req0!AF70+Req0!AF71+Req0!AF73+Req0!AF74+Req0!AF75+Req0!AF76+Req0!AF77+Req0!AF78+Req0!AF79+Req0!AF80+Req0!AF81+Req0!AF82)/(Req2!AF66+Req2!AF67+Req2!AF68+Req2!AF69+Req2!AF70+Req2!AF71+Req2!AF73+Req2!AF74+Req2!AF75+Req2!AF76+Req2!AF77+Req2!AF78+Req2!AF79+Req2!AF80+Req2!AF81+Req2!AF82)</f>
        <v>84.39302623552668</v>
      </c>
      <c r="AG50" s="117">
        <f>(Req0!AG66+Req0!AG67+Req0!AG68+Req0!AG69+Req0!AG70+Req0!AG71+Req0!AG73+Req0!AG74+Req0!AG75+Req0!AG76+Req0!AG77+Req0!AG78+Req0!AG79+Req0!AG80+Req0!AG81+Req0!AG82)/(Req2!AG66+Req2!AG67+Req2!AG68+Req2!AG69+Req2!AG70+Req2!AG71+Req2!AG73+Req2!AG74+Req2!AG75+Req2!AG76+Req2!AG77+Req2!AG78+Req2!AG79+Req2!AG80+Req2!AG81+Req2!AG82)</f>
        <v>81.41754582727538</v>
      </c>
      <c r="AH50" s="117">
        <f>(Req0!AH66+Req0!AH67+Req0!AH68+Req0!AH69+Req0!AH70+Req0!AH71+Req0!AH73+Req0!AH74+Req0!AH75+Req0!AH76+Req0!AH77+Req0!AH78+Req0!AH79+Req0!AH80+Req0!AH81+Req0!AH82)/(Req2!AH66+Req2!AH67+Req2!AH68+Req2!AH69+Req2!AH70+Req2!AH71+Req2!AH73+Req2!AH74+Req2!AH75+Req2!AH76+Req2!AH77+Req2!AH78+Req2!AH79+Req2!AH80+Req2!AH81+Req2!AH82)</f>
        <v>77.62143665872544</v>
      </c>
      <c r="AI50" s="117">
        <f>(Req0!AI66+Req0!AI67+Req0!AI68+Req0!AI69+Req0!AI70+Req0!AI71+Req0!AI73+Req0!AI74+Req0!AI75+Req0!AI76+Req0!AI77+Req0!AI78+Req0!AI79+Req0!AI80+Req0!AI81+Req0!AI82)/(Req2!AI66+Req2!AI67+Req2!AI68+Req2!AI69+Req2!AI70+Req2!AI71+Req2!AI73+Req2!AI74+Req2!AI75+Req2!AI76+Req2!AI77+Req2!AI78+Req2!AI79+Req2!AI80+Req2!AI81+Req2!AI82)</f>
        <v>80.84779564867043</v>
      </c>
    </row>
    <row r="51" spans="2:35" s="14" customFormat="1" ht="27" thickBot="1" thickTop="1">
      <c r="B51" s="49" t="s">
        <v>123</v>
      </c>
      <c r="C51" s="117">
        <f>(Req0!C68+Req0!C69+Req0!C70+Req0!C71+Req0!C72+Req0!C73+Req0!C74)/(Req2!C68+Req2!C69+Req2!C70+Req2!C71+Req2!C72+Req2!C73+Req2!C74)</f>
        <v>80.4651534008683</v>
      </c>
      <c r="D51" s="117">
        <f>(Req0!D68+Req0!D69+Req0!D70+Req0!D71+Req0!D72+Req0!D73+Req0!D74)/(Req2!D68+Req2!D69+Req2!D70+Req2!D71+Req2!D72+Req2!D73+Req2!D74)</f>
        <v>88.66334776987718</v>
      </c>
      <c r="E51" s="117">
        <f>(Req0!E68+Req0!E69+Req0!E70+Req0!E71+Req0!E72+Req0!E73+Req0!E74)/(Req2!E68+Req2!E69+Req2!E70+Req2!E71+Req2!E72+Req2!E73+Req2!E74)</f>
        <v>81.57198780487805</v>
      </c>
      <c r="F51" s="117">
        <f>(Req0!F68+Req0!F69+Req0!F70+Req0!F71+Req0!F72+Req0!F73+Req0!F74)/(Req2!F68+Req2!F69+Req2!F70+Req2!F71+Req2!F72+Req2!F73+Req2!F74)</f>
        <v>84.30772882468811</v>
      </c>
      <c r="G51" s="117">
        <f>(Req0!G68+Req0!G69+Req0!G70+Req0!G71+Req0!G72+Req0!G73+Req0!G74)/(Req2!G68+Req2!G69+Req2!G70+Req2!G71+Req2!G72+Req2!G73+Req2!G74)</f>
        <v>87.2155181451613</v>
      </c>
      <c r="H51" s="117">
        <f>(Req0!H68+Req0!H69+Req0!H70+Req0!H71+Req0!H72+Req0!H73+Req0!H74)/(Req2!H68+Req2!H69+Req2!H70+Req2!H71+Req2!H72+Req2!H73+Req2!H74)</f>
        <v>84.79363487916395</v>
      </c>
      <c r="I51" s="117">
        <f>(Req0!I68+Req0!I69+Req0!I70+Req0!I71+Req0!I72+Req0!I73+Req0!I74)/(Req2!I68+Req2!I69+Req2!I70+Req2!I71+Req2!I72+Req2!I73+Req2!I74)</f>
        <v>84.85316593613024</v>
      </c>
      <c r="J51" s="117">
        <f>(Req0!J68+Req0!J69+Req0!J70+Req0!J71+Req0!J72+Req0!J73+Req0!J74)/(Req2!J68+Req2!J69+Req2!J70+Req2!J71+Req2!J72+Req2!J73+Req2!J74)</f>
        <v>87.16736720698255</v>
      </c>
      <c r="K51" s="117">
        <f>(Req0!K68+Req0!K69+Req0!K70+Req0!K71+Req0!K72+Req0!K73+Req0!K74)/(Req2!K68+Req2!K69+Req2!K70+Req2!K71+Req2!K72+Req2!K73+Req2!K74)</f>
        <v>87.04007206349206</v>
      </c>
      <c r="L51" s="117">
        <f>(Req0!L68+Req0!L69+Req0!L70+Req0!L71+Req0!L72+Req0!L73+Req0!L74)/(Req2!L68+Req2!L69+Req2!L70+Req2!L71+Req2!L72+Req2!L73+Req2!L74)</f>
        <v>85.92811903114188</v>
      </c>
      <c r="M51" s="117">
        <f>(Req0!M68+Req0!M69+Req0!M70+Req0!M71+Req0!M72+Req0!M73+Req0!M74)/(Req2!M68+Req2!M69+Req2!M70+Req2!M71+Req2!M72+Req2!M73+Req2!M74)</f>
        <v>91.916878992629</v>
      </c>
      <c r="N51" s="117">
        <f>(Req0!N68+Req0!N69+Req0!N70+Req0!N71+Req0!N72+Req0!N73+Req0!N74)/(Req2!N68+Req2!N69+Req2!N70+Req2!N71+Req2!N72+Req2!N73+Req2!N74)</f>
        <v>88.9417316687737</v>
      </c>
      <c r="O51" s="117">
        <f>(Req0!O68+Req0!O69+Req0!O70+Req0!O71+Req0!O72+Req0!O73+Req0!O74)/(Req2!O68+Req2!O69+Req2!O70+Req2!O71+Req2!O72+Req2!O73+Req2!O74)</f>
        <v>91.66152685821365</v>
      </c>
      <c r="P51" s="117">
        <f>(Req0!P68+Req0!P69+Req0!P70+Req0!P71+Req0!P72+Req0!P73+Req0!P74)/(Req2!P68+Req2!P69+Req2!P70+Req2!P71+Req2!P72+Req2!P73+Req2!P74)</f>
        <v>88.52029197994987</v>
      </c>
      <c r="Q51" s="117">
        <f>(Req0!Q68+Req0!Q69+Req0!Q70+Req0!Q71+Req0!Q72+Req0!Q73+Req0!Q74)/(Req2!Q68+Req2!Q69+Req2!Q70+Req2!Q71+Req2!Q72+Req2!Q73+Req2!Q74)</f>
        <v>87.40589503311259</v>
      </c>
      <c r="R51" s="117">
        <f>(Req0!R68+Req0!R69+Req0!R70+Req0!R71+Req0!R72+Req0!R73+Req0!R74)/(Req2!R68+Req2!R69+Req2!R70+Req2!R71+Req2!R72+Req2!R73+Req2!R74)</f>
        <v>92.86089993502276</v>
      </c>
      <c r="S51" s="117">
        <f>(Req0!S68+Req0!S69+Req0!S70+Req0!S71+Req0!S72+Req0!S73+Req0!S74)/(Req2!S68+Req2!S69+Req2!S70+Req2!S71+Req2!S72+Req2!S73+Req2!S74)</f>
        <v>93.67311520270272</v>
      </c>
      <c r="T51" s="117">
        <f>(Req0!T68+Req0!T69+Req0!T70+Req0!T71+Req0!T72+Req0!T73+Req0!T74)/(Req2!T68+Req2!T69+Req2!T70+Req2!T71+Req2!T72+Req2!T73+Req2!T74)</f>
        <v>91.359364874064</v>
      </c>
      <c r="U51" s="117">
        <f>(Req0!U68+Req0!U69+Req0!U70+Req0!U71+Req0!U72+Req0!U73+Req0!U74)/(Req2!U68+Req2!U69+Req2!U70+Req2!U71+Req2!U72+Req2!U73+Req2!U74)</f>
        <v>91.90181073074389</v>
      </c>
      <c r="V51" s="117">
        <f>(Req0!V68+Req0!V69+Req0!V70+Req0!V71+Req0!V72+Req0!V73+Req0!V74)/(Req2!V68+Req2!V69+Req2!V70+Req2!V71+Req2!V72+Req2!V73+Req2!V74)</f>
        <v>92.07832714843751</v>
      </c>
      <c r="W51" s="117">
        <f>(Req0!W68+Req0!W69+Req0!W70+Req0!W71+Req0!W72+Req0!W73+Req0!W74)/(Req2!W68+Req2!W69+Req2!W70+Req2!W71+Req2!W72+Req2!W73+Req2!W74)</f>
        <v>91.36707471647765</v>
      </c>
      <c r="X51" s="117">
        <f>(Req0!X68+Req0!X69+Req0!X70+Req0!X71+Req0!X72+Req0!X73+Req0!X74)/(Req2!X68+Req2!X69+Req2!X70+Req2!X71+Req2!X72+Req2!X73+Req2!X74)</f>
        <v>89.96943841847445</v>
      </c>
      <c r="Y51" s="117">
        <f>(Req0!Y68+Req0!Y69+Req0!Y70+Req0!Y71+Req0!Y72+Req0!Y73+Req0!Y74)/(Req2!Y68+Req2!Y69+Req2!Y70+Req2!Y71+Req2!Y72+Req2!Y73+Req2!Y74)</f>
        <v>93.28774583610925</v>
      </c>
      <c r="Z51" s="117">
        <f>(Req0!Z68+Req0!Z69+Req0!Z70+Req0!Z71+Req0!Z72+Req0!Z73+Req0!Z74)/(Req2!Z68+Req2!Z69+Req2!Z70+Req2!Z71+Req2!Z72+Req2!Z73+Req2!Z74)</f>
        <v>91.59701554404144</v>
      </c>
      <c r="AA51" s="117">
        <f>(Req0!AA68+Req0!AA69+Req0!AA70+Req0!AA71+Req0!AA72+Req0!AA73+Req0!AA74)/(Req2!AA68+Req2!AA69+Req2!AA70+Req2!AA71+Req2!AA72+Req2!AA73+Req2!AA74)</f>
        <v>94.71776367319379</v>
      </c>
      <c r="AB51" s="117">
        <f>(Req0!AB68+Req0!AB69+Req0!AB70+Req0!AB71+Req0!AB72+Req0!AB73+Req0!AB74)/(Req2!AB68+Req2!AB69+Req2!AB70+Req2!AB71+Req2!AB72+Req2!AB73+Req2!AB74)</f>
        <v>97.3184433357092</v>
      </c>
      <c r="AC51" s="117">
        <f>(Req0!AC68+Req0!AC69+Req0!AC70+Req0!AC71+Req0!AC72+Req0!AC73+Req0!AC74)/(Req2!AC68+Req2!AC69+Req2!AC70+Req2!AC71+Req2!AC72+Req2!AC73+Req2!AC74)</f>
        <v>88.98212665198238</v>
      </c>
      <c r="AD51" s="117">
        <f>(Req0!AD68+Req0!AD69+Req0!AD70+Req0!AD71+Req0!AD72+Req0!AD73+Req0!AD74)/(Req2!AD68+Req2!AD69+Req2!AD70+Req2!AD71+Req2!AD72+Req2!AD73+Req2!AD74)</f>
        <v>85.0288931802366</v>
      </c>
      <c r="AE51" s="117">
        <f>(Req0!AE68+Req0!AE69+Req0!AE70+Req0!AE71+Req0!AE72+Req0!AE73+Req0!AE74)/(Req2!AE68+Req2!AE69+Req2!AE70+Req2!AE71+Req2!AE72+Req2!AE73+Req2!AE74)</f>
        <v>80.10833432080925</v>
      </c>
      <c r="AF51" s="117">
        <f>(Req0!AF68+Req0!AF69+Req0!AF70+Req0!AF71+Req0!AF72+Req0!AF73+Req0!AF74)/(Req2!AF68+Req2!AF69+Req2!AF70+Req2!AF71+Req2!AF72+Req2!AF73+Req2!AF74)</f>
        <v>79.34788715719064</v>
      </c>
      <c r="AG51" s="117">
        <f>(Req0!AG68+Req0!AG69+Req0!AG70+Req0!AG71+Req0!AG72+Req0!AG73+Req0!AG74)/(Req2!AG68+Req2!AG69+Req2!AG70+Req2!AG71+Req2!AG72+Req2!AG73+Req2!AG74)</f>
        <v>77.29672426573427</v>
      </c>
      <c r="AH51" s="117">
        <f>(Req0!AH68+Req0!AH69+Req0!AH70+Req0!AH71+Req0!AH72+Req0!AH73+Req0!AH74)/(Req2!AH68+Req2!AH69+Req2!AH70+Req2!AH71+Req2!AH72+Req2!AH73+Req2!AH74)</f>
        <v>75.79630361271676</v>
      </c>
      <c r="AI51" s="117">
        <f>(Req0!AI68+Req0!AI69+Req0!AI70+Req0!AI71+Req0!AI72+Req0!AI73+Req0!AI74)/(Req2!AI68+Req2!AI69+Req2!AI70+Req2!AI71+Req2!AI72+Req2!AI73+Req2!AI74)</f>
        <v>77.96928204134367</v>
      </c>
    </row>
    <row r="52" spans="2:35" s="14" customFormat="1" ht="14.25" thickBot="1" thickTop="1">
      <c r="B52" s="49" t="s">
        <v>124</v>
      </c>
      <c r="C52" s="117">
        <f>IF(Req2!C83+Req2!C84+Req2!C85=0,"",(Req0!C83+Req0!C84+Req0!C85)/(Req2!C83+Req2!C84+Req2!C85))</f>
      </c>
      <c r="D52" s="117">
        <f>IF(Req2!D83+Req2!D84+Req2!D85=0,"",(Req0!D83+Req0!D84+Req0!D85)/(Req2!D83+Req2!D84+Req2!D85))</f>
      </c>
      <c r="E52" s="117">
        <f>IF(Req2!E83+Req2!E84+Req2!E85=0,"",(Req0!E83+Req0!E84+Req0!E85)/(Req2!E83+Req2!E84+Req2!E85))</f>
      </c>
      <c r="F52" s="117">
        <f>IF(Req2!F83+Req2!F84+Req2!F85=0,"",(Req0!F83+Req0!F84+Req0!F85)/(Req2!F83+Req2!F84+Req2!F85))</f>
      </c>
      <c r="G52" s="117">
        <f>IF(Req2!G83+Req2!G84+Req2!G85=0,"",(Req0!G83+Req0!G84+Req0!G85)/(Req2!G83+Req2!G84+Req2!G85))</f>
      </c>
      <c r="H52" s="117">
        <f>IF(Req2!H83+Req2!H84+Req2!H85=0,"",(Req0!H83+Req0!H84+Req0!H85)/(Req2!H83+Req2!H84+Req2!H85))</f>
      </c>
      <c r="I52" s="117">
        <f>IF(Req2!I83+Req2!I84+Req2!I85=0,"",(Req0!I83+Req0!I84+Req0!I85)/(Req2!I83+Req2!I84+Req2!I85))</f>
      </c>
      <c r="J52" s="117">
        <f>IF(Req2!J83+Req2!J84+Req2!J85=0,"",(Req0!J83+Req0!J84+Req0!J85)/(Req2!J83+Req2!J84+Req2!J85))</f>
      </c>
      <c r="K52" s="117">
        <f>IF(Req2!K83+Req2!K84+Req2!K85=0,"",(Req0!K83+Req0!K84+Req0!K85)/(Req2!K83+Req2!K84+Req2!K85))</f>
        <v>210.6637</v>
      </c>
      <c r="L52" s="117">
        <f>IF(Req2!L83+Req2!L84+Req2!L85=0,"",(Req0!L83+Req0!L84+Req0!L85)/(Req2!L83+Req2!L84+Req2!L85))</f>
        <v>216.181</v>
      </c>
      <c r="M52" s="117">
        <f>IF(Req2!M83+Req2!M84+Req2!M85=0,"",(Req0!M83+Req0!M84+Req0!M85)/(Req2!M83+Req2!M84+Req2!M85))</f>
        <v>214.2725</v>
      </c>
      <c r="N52" s="117">
        <f>IF(Req2!N83+Req2!N84+Req2!N85=0,"",(Req0!N83+Req0!N84+Req0!N85)/(Req2!N83+Req2!N84+Req2!N85))</f>
        <v>188.71016666666668</v>
      </c>
      <c r="O52" s="117">
        <f>IF(Req2!O83+Req2!O84+Req2!O85=0,"",(Req0!O83+Req0!O84+Req0!O85)/(Req2!O83+Req2!O84+Req2!O85))</f>
        <v>237.0279888888889</v>
      </c>
      <c r="P52" s="117">
        <f>IF(Req2!P83+Req2!P84+Req2!P85=0,"",(Req0!P83+Req0!P84+Req0!P85)/(Req2!P83+Req2!P84+Req2!P85))</f>
        <v>158.33610000000002</v>
      </c>
      <c r="Q52" s="117">
        <f>IF(Req2!Q83+Req2!Q84+Req2!Q85=0,"",(Req0!Q83+Req0!Q84+Req0!Q85)/(Req2!Q83+Req2!Q84+Req2!Q85))</f>
        <v>185.2585681818182</v>
      </c>
      <c r="R52" s="117">
        <f>IF(Req2!R83+Req2!R84+Req2!R85=0,"",(Req0!R83+Req0!R84+Req0!R85)/(Req2!R83+Req2!R84+Req2!R85))</f>
        <v>178.00643421052632</v>
      </c>
      <c r="S52" s="117">
        <f>IF(Req2!S83+Req2!S84+Req2!S85=0,"",(Req0!S83+Req0!S84+Req0!S85)/(Req2!S83+Req2!S84+Req2!S85))</f>
        <v>149.19147087378641</v>
      </c>
      <c r="T52" s="117">
        <f>IF(Req2!T83+Req2!T84+Req2!T85=0,"",(Req0!T83+Req0!T84+Req0!T85)/(Req2!T83+Req2!T84+Req2!T85))</f>
        <v>156.85579126213594</v>
      </c>
      <c r="U52" s="117">
        <f>IF(Req2!U83+Req2!U84+Req2!U85=0,"",(Req0!U83+Req0!U84+Req0!U85)/(Req2!U83+Req2!U84+Req2!U85))</f>
        <v>161.658625</v>
      </c>
      <c r="V52" s="117">
        <f>IF(Req2!V83+Req2!V84+Req2!V85=0,"",(Req0!V83+Req0!V84+Req0!V85)/(Req2!V83+Req2!V84+Req2!V85))</f>
        <v>148.46918253968252</v>
      </c>
      <c r="W52" s="117">
        <f>IF(Req2!W83+Req2!W84+Req2!W85=0,"",(Req0!W83+Req0!W84+Req0!W85)/(Req2!W83+Req2!W84+Req2!W85))</f>
        <v>160.161616</v>
      </c>
      <c r="X52" s="117">
        <f>IF(Req2!X83+Req2!X84+Req2!X85=0,"",(Req0!X83+Req0!X84+Req0!X85)/(Req2!X83+Req2!X84+Req2!X85))</f>
        <v>143.60193827160492</v>
      </c>
      <c r="Y52" s="117">
        <f>IF(Req2!Y83+Req2!Y84+Req2!Y85=0,"",(Req0!Y83+Req0!Y84+Req0!Y85)/(Req2!Y83+Req2!Y84+Req2!Y85))</f>
        <v>164.01912912087914</v>
      </c>
      <c r="Z52" s="117">
        <f>IF(Req2!Z83+Req2!Z84+Req2!Z85=0,"",(Req0!Z83+Req0!Z84+Req0!Z85)/(Req2!Z83+Req2!Z84+Req2!Z85))</f>
        <v>183.3491414473684</v>
      </c>
      <c r="AA52" s="117">
        <f>IF(Req2!AA83+Req2!AA84+Req2!AA85=0,"",(Req0!AA83+Req0!AA84+Req0!AA85)/(Req2!AA83+Req2!AA84+Req2!AA85))</f>
        <v>193.8734814814815</v>
      </c>
      <c r="AB52" s="117">
        <f>IF(Req2!AB83+Req2!AB84+Req2!AB85=0,"",(Req0!AB83+Req0!AB84+Req0!AB85)/(Req2!AB83+Req2!AB84+Req2!AB85))</f>
        <v>196.97474484536082</v>
      </c>
      <c r="AC52" s="117">
        <f>IF(Req2!AC83+Req2!AC84+Req2!AC85=0,"",(Req0!AC83+Req0!AC84+Req0!AC85)/(Req2!AC83+Req2!AC84+Req2!AC85))</f>
        <v>186.79082575757576</v>
      </c>
      <c r="AD52" s="117">
        <f>IF(Req2!AD83+Req2!AD84+Req2!AD85=0,"",(Req0!AD83+Req0!AD84+Req0!AD85)/(Req2!AD83+Req2!AD84+Req2!AD85))</f>
        <v>202.79316666666668</v>
      </c>
      <c r="AE52" s="117">
        <f>IF(Req2!AE83+Req2!AE84+Req2!AE85=0,"",(Req0!AE83+Req0!AE84+Req0!AE85)/(Req2!AE83+Req2!AE84+Req2!AE85))</f>
        <v>194.139243902439</v>
      </c>
      <c r="AF52" s="117">
        <f>IF(Req2!AF83+Req2!AF84+Req2!AF85=0,"",(Req0!AF83+Req0!AF84+Req0!AF85)/(Req2!AF83+Req2!AF84+Req2!AF85))</f>
        <v>192.10624892703862</v>
      </c>
      <c r="AG52" s="117">
        <f>IF(Req2!AG83+Req2!AG84+Req2!AG85=0,"",(Req0!AG83+Req0!AG84+Req0!AG85)/(Req2!AG83+Req2!AG84+Req2!AG85))</f>
        <v>194.54741780821917</v>
      </c>
      <c r="AH52" s="117">
        <f>IF(Req2!AH83+Req2!AH84+Req2!AH85=0,"",(Req0!AH83+Req0!AH84+Req0!AH85)/(Req2!AH83+Req2!AH84+Req2!AH85))</f>
        <v>202.4903382352941</v>
      </c>
      <c r="AI52" s="117">
        <f>IF(Req2!AI83+Req2!AI84+Req2!AI85=0,"",(Req0!AI83+Req0!AI84+Req0!AI85)/(Req2!AI83+Req2!AI84+Req2!AI85))</f>
        <v>206.79419246861923</v>
      </c>
    </row>
    <row r="53" spans="2:35" s="14" customFormat="1" ht="14.25" thickBot="1" thickTop="1">
      <c r="B53" s="49" t="s">
        <v>125</v>
      </c>
      <c r="C53" s="117">
        <f>(Req0!C86+Req0!C87+Req0!C88+Req0!C89+Req0!C90+Req0!C91+Req0!C92+Req0!C93)/(Req2!C86+Req2!C87+Req2!C88+Req2!C89+Req2!C90+Req2!C91+Req2!C92+Req2!C93)</f>
        <v>28.562707452165156</v>
      </c>
      <c r="D53" s="117">
        <f>(Req0!D86+Req0!D87+Req0!D88+Req0!D89+Req0!D90+Req0!D91+Req0!D92+Req0!D93)/(Req2!D86+Req2!D87+Req2!D88+Req2!D89+Req2!D90+Req2!D91+Req2!D92+Req2!D93)</f>
        <v>29.589852765957453</v>
      </c>
      <c r="E53" s="117">
        <f>(Req0!E86+Req0!E87+Req0!E88+Req0!E89+Req0!E90+Req0!E91+Req0!E92+Req0!E93)/(Req2!E86+Req2!E87+Req2!E88+Req2!E89+Req2!E90+Req2!E91+Req2!E92+Req2!E93)</f>
        <v>30.575636320754718</v>
      </c>
      <c r="F53" s="117">
        <f>(Req0!F86+Req0!F87+Req0!F88+Req0!F89+Req0!F90+Req0!F91+Req0!F92+Req0!F93)/(Req2!F86+Req2!F87+Req2!F88+Req2!F89+Req2!F90+Req2!F91+Req2!F92+Req2!F93)</f>
        <v>29.040975092250925</v>
      </c>
      <c r="G53" s="117">
        <f>(Req0!G86+Req0!G87+Req0!G88+Req0!G89+Req0!G90+Req0!G91+Req0!G92+Req0!G93)/(Req2!G86+Req2!G87+Req2!G88+Req2!G89+Req2!G90+Req2!G91+Req2!G92+Req2!G93)</f>
        <v>28.790611361587015</v>
      </c>
      <c r="H53" s="117">
        <f>(Req0!H86+Req0!H87+Req0!H88+Req0!H89+Req0!H90+Req0!H91+Req0!H92+Req0!H93)/(Req2!H86+Req2!H87+Req2!H88+Req2!H89+Req2!H90+Req2!H91+Req2!H92+Req2!H93)</f>
        <v>29.26750139017609</v>
      </c>
      <c r="I53" s="117">
        <f>(Req0!I86+Req0!I87+Req0!I88+Req0!I89+Req0!I90+Req0!I91+Req0!I92+Req0!I93)/(Req2!I86+Req2!I87+Req2!I88+Req2!I89+Req2!I90+Req2!I91+Req2!I92+Req2!I93)</f>
        <v>29.159814655172408</v>
      </c>
      <c r="J53" s="117">
        <f>(Req0!J86+Req0!J87+Req0!J88+Req0!J89+Req0!J90+Req0!J91+Req0!J92+Req0!J93)/(Req2!J86+Req2!J87+Req2!J88+Req2!J89+Req2!J90+Req2!J91+Req2!J92+Req2!J93)</f>
        <v>30.193549079754604</v>
      </c>
      <c r="K53" s="117">
        <f>(Req0!K86+Req0!K87+Req0!K88+Req0!K89+Req0!K90+Req0!K91+Req0!K92+Req0!K93)/(Req2!K86+Req2!K87+Req2!K88+Req2!K89+Req2!K90+Req2!K91+Req2!K92+Req2!K93)</f>
        <v>29.581072327044026</v>
      </c>
      <c r="L53" s="117">
        <f>(Req0!L86+Req0!L87+Req0!L88+Req0!L89+Req0!L90+Req0!L91+Req0!L92+Req0!L93)/(Req2!L86+Req2!L87+Req2!L88+Req2!L89+Req2!L90+Req2!L91+Req2!L92+Req2!L93)</f>
        <v>29.683884431709647</v>
      </c>
      <c r="M53" s="117">
        <f>(Req0!M86+Req0!M87+Req0!M88+Req0!M89+Req0!M90+Req0!M91+Req0!M92+Req0!M93)/(Req2!M86+Req2!M87+Req2!M88+Req2!M89+Req2!M90+Req2!M91+Req2!M92+Req2!M93)</f>
        <v>30.234244107744114</v>
      </c>
      <c r="N53" s="117">
        <f>(Req0!N86+Req0!N87+Req0!N88+Req0!N89+Req0!N90+Req0!N91+Req0!N92+Req0!N93)/(Req2!N86+Req2!N87+Req2!N88+Req2!N89+Req2!N90+Req2!N91+Req2!N92+Req2!N93)</f>
        <v>30.6000392599278</v>
      </c>
      <c r="O53" s="117">
        <f>(Req0!O86+Req0!O87+Req0!O88+Req0!O89+Req0!O90+Req0!O91+Req0!O92+Req0!O93)/(Req2!O86+Req2!O87+Req2!O88+Req2!O89+Req2!O90+Req2!O91+Req2!O92+Req2!O93)</f>
        <v>30.239196891191714</v>
      </c>
      <c r="P53" s="117">
        <f>(Req0!P86+Req0!P87+Req0!P88+Req0!P89+Req0!P90+Req0!P91+Req0!P92+Req0!P93)/(Req2!P86+Req2!P87+Req2!P88+Req2!P89+Req2!P90+Req2!P91+Req2!P92+Req2!P93)</f>
        <v>30.449970825852784</v>
      </c>
      <c r="Q53" s="117">
        <f>(Req0!Q86+Req0!Q87+Req0!Q88+Req0!Q89+Req0!Q90+Req0!Q91+Req0!Q92+Req0!Q93)/(Req2!Q86+Req2!Q87+Req2!Q88+Req2!Q89+Req2!Q90+Req2!Q91+Req2!Q92+Req2!Q93)</f>
        <v>30.120804388422034</v>
      </c>
      <c r="R53" s="117">
        <f>(Req0!R86+Req0!R87+Req0!R88+Req0!R89+Req0!R90+Req0!R91+Req0!R92+Req0!R93)/(Req2!R86+Req2!R87+Req2!R88+Req2!R89+Req2!R90+Req2!R91+Req2!R92+Req2!R93)</f>
        <v>31.072330324909746</v>
      </c>
      <c r="S53" s="117">
        <f>(Req0!S86+Req0!S87+Req0!S88+Req0!S89+Req0!S90+Req0!S91+Req0!S92+Req0!S93)/(Req2!S86+Req2!S87+Req2!S88+Req2!S89+Req2!S90+Req2!S91+Req2!S92+Req2!S93)</f>
        <v>30.195452402135235</v>
      </c>
      <c r="T53" s="117">
        <f>(Req0!T86+Req0!T87+Req0!T88+Req0!T89+Req0!T90+Req0!T91+Req0!T92+Req0!T93)/(Req2!T86+Req2!T87+Req2!T88+Req2!T89+Req2!T90+Req2!T91+Req2!T92+Req2!T93)</f>
        <v>29.818500450856625</v>
      </c>
      <c r="U53" s="117">
        <f>(Req0!U86+Req0!U87+Req0!U88+Req0!U89+Req0!U90+Req0!U91+Req0!U92+Req0!U93)/(Req2!U86+Req2!U87+Req2!U88+Req2!U89+Req2!U90+Req2!U91+Req2!U92+Req2!U93)</f>
        <v>30.462290123456786</v>
      </c>
      <c r="V53" s="117">
        <f>(Req0!V86+Req0!V87+Req0!V88+Req0!V89+Req0!V90+Req0!V91+Req0!V92+Req0!V93)/(Req2!V86+Req2!V87+Req2!V88+Req2!V89+Req2!V90+Req2!V91+Req2!V92+Req2!V93)</f>
        <v>30.752334363957598</v>
      </c>
      <c r="W53" s="117">
        <f>(Req0!W86+Req0!W87+Req0!W88+Req0!W89+Req0!W90+Req0!W91+Req0!W92+Req0!W93)/(Req2!W86+Req2!W87+Req2!W88+Req2!W89+Req2!W90+Req2!W91+Req2!W92+Req2!W93)</f>
        <v>30.63491046831956</v>
      </c>
      <c r="X53" s="117">
        <f>(Req0!X86+Req0!X87+Req0!X88+Req0!X89+Req0!X90+Req0!X91+Req0!X92+Req0!X93)/(Req2!X86+Req2!X87+Req2!X88+Req2!X89+Req2!X90+Req2!X91+Req2!X92+Req2!X93)</f>
        <v>29.840893953934742</v>
      </c>
      <c r="Y53" s="117">
        <f>(Req0!Y86+Req0!Y87+Req0!Y88+Req0!Y89+Req0!Y90+Req0!Y91+Req0!Y92+Req0!Y93)/(Req2!Y86+Req2!Y87+Req2!Y88+Req2!Y89+Req2!Y90+Req2!Y91+Req2!Y92+Req2!Y93)</f>
        <v>31.09799550359712</v>
      </c>
      <c r="Z53" s="117">
        <f>(Req0!Z86+Req0!Z87+Req0!Z88+Req0!Z89+Req0!Z90+Req0!Z91+Req0!Z92+Req0!Z93)/(Req2!Z86+Req2!Z87+Req2!Z88+Req2!Z89+Req2!Z90+Req2!Z91+Req2!Z92+Req2!Z93)</f>
        <v>29.168762072434607</v>
      </c>
      <c r="AA53" s="117">
        <f>(Req0!AA86+Req0!AA87+Req0!AA88+Req0!AA89+Req0!AA90+Req0!AA91+Req0!AA92+Req0!AA93)/(Req2!AA86+Req2!AA87+Req2!AA88+Req2!AA89+Req2!AA90+Req2!AA91+Req2!AA92+Req2!AA93)</f>
        <v>28.709469573115353</v>
      </c>
      <c r="AB53" s="117">
        <f>(Req0!AB86+Req0!AB87+Req0!AB88+Req0!AB89+Req0!AB90+Req0!AB91+Req0!AB92+Req0!AB93)/(Req2!AB86+Req2!AB87+Req2!AB88+Req2!AB89+Req2!AB90+Req2!AB91+Req2!AB92+Req2!AB93)</f>
        <v>27.983526715462027</v>
      </c>
      <c r="AC53" s="117">
        <f>(Req0!AC86+Req0!AC87+Req0!AC88+Req0!AC89+Req0!AC90+Req0!AC91+Req0!AC92+Req0!AC93)/(Req2!AC86+Req2!AC87+Req2!AC88+Req2!AC89+Req2!AC90+Req2!AC91+Req2!AC92+Req2!AC93)</f>
        <v>26.957347808764943</v>
      </c>
      <c r="AD53" s="117">
        <f>(Req0!AD86+Req0!AD87+Req0!AD88+Req0!AD89+Req0!AD90+Req0!AD91+Req0!AD92+Req0!AD93)/(Req2!AD86+Req2!AD87+Req2!AD88+Req2!AD89+Req2!AD90+Req2!AD91+Req2!AD92+Req2!AD93)</f>
        <v>26.83454378478664</v>
      </c>
      <c r="AE53" s="117">
        <f>(Req0!AE86+Req0!AE87+Req0!AE88+Req0!AE89+Req0!AE90+Req0!AE91+Req0!AE92+Req0!AE93)/(Req2!AE86+Req2!AE87+Req2!AE88+Req2!AE89+Req2!AE90+Req2!AE91+Req2!AE92+Req2!AE93)</f>
        <v>25.53059064885496</v>
      </c>
      <c r="AF53" s="117">
        <f>(Req0!AF86+Req0!AF87+Req0!AF88+Req0!AF89+Req0!AF90+Req0!AF91+Req0!AF92+Req0!AF93)/(Req2!AF86+Req2!AF87+Req2!AF88+Req2!AF89+Req2!AF90+Req2!AF91+Req2!AF92+Req2!AF93)</f>
        <v>25.862446118721465</v>
      </c>
      <c r="AG53" s="117">
        <f>(Req0!AG86+Req0!AG87+Req0!AG88+Req0!AG89+Req0!AG90+Req0!AG91+Req0!AG92+Req0!AG93)/(Req2!AG86+Req2!AG87+Req2!AG88+Req2!AG89+Req2!AG90+Req2!AG91+Req2!AG92+Req2!AG93)</f>
        <v>24.583359345794392</v>
      </c>
      <c r="AH53" s="117">
        <f>(Req0!AH86+Req0!AH87+Req0!AH88+Req0!AH89+Req0!AH90+Req0!AH91+Req0!AH92+Req0!AH93)/(Req2!AH86+Req2!AH87+Req2!AH88+Req2!AH89+Req2!AH90+Req2!AH91+Req2!AH92+Req2!AH93)</f>
        <v>24.31887253937008</v>
      </c>
      <c r="AI53" s="117">
        <f>(Req0!AI86+Req0!AI87+Req0!AI88+Req0!AI89+Req0!AI90+Req0!AI91+Req0!AI92+Req0!AI93)/(Req2!AI86+Req2!AI87+Req2!AI88+Req2!AI89+Req2!AI90+Req2!AI91+Req2!AI92+Req2!AI93)</f>
        <v>25.83146694214876</v>
      </c>
    </row>
    <row r="54" ht="13.5" thickTop="1"/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8"/>
  <sheetViews>
    <sheetView workbookViewId="0" topLeftCell="A1">
      <selection activeCell="AI107" sqref="AI107"/>
    </sheetView>
  </sheetViews>
  <sheetFormatPr defaultColWidth="11.421875" defaultRowHeight="12.75"/>
  <cols>
    <col min="2" max="2" width="26.8515625" style="0" bestFit="1" customWidth="1"/>
    <col min="3" max="18" width="11.7109375" style="0" bestFit="1" customWidth="1"/>
  </cols>
  <sheetData>
    <row r="1" ht="18">
      <c r="B1" s="21" t="s">
        <v>122</v>
      </c>
    </row>
    <row r="3" spans="1:35" s="70" customFormat="1" ht="26.25" thickBot="1">
      <c r="A3" s="72" t="s">
        <v>115</v>
      </c>
      <c r="B3" s="107" t="s">
        <v>0</v>
      </c>
      <c r="C3" s="107" t="s">
        <v>55</v>
      </c>
      <c r="D3" s="107" t="s">
        <v>56</v>
      </c>
      <c r="E3" s="107" t="s">
        <v>57</v>
      </c>
      <c r="F3" s="107" t="s">
        <v>58</v>
      </c>
      <c r="G3" s="107" t="s">
        <v>59</v>
      </c>
      <c r="H3" s="107" t="s">
        <v>60</v>
      </c>
      <c r="I3" s="107" t="s">
        <v>61</v>
      </c>
      <c r="J3" s="107" t="s">
        <v>62</v>
      </c>
      <c r="K3" s="107" t="s">
        <v>63</v>
      </c>
      <c r="L3" s="107" t="s">
        <v>116</v>
      </c>
      <c r="M3" s="107" t="s">
        <v>65</v>
      </c>
      <c r="N3" s="107" t="s">
        <v>38</v>
      </c>
      <c r="O3" s="107" t="s">
        <v>39</v>
      </c>
      <c r="P3" s="107" t="s">
        <v>40</v>
      </c>
      <c r="Q3" s="107" t="s">
        <v>41</v>
      </c>
      <c r="R3" s="107" t="s">
        <v>42</v>
      </c>
      <c r="S3" s="107" t="s">
        <v>43</v>
      </c>
      <c r="T3" s="107" t="s">
        <v>44</v>
      </c>
      <c r="U3" s="107" t="s">
        <v>45</v>
      </c>
      <c r="V3" s="107" t="s">
        <v>117</v>
      </c>
      <c r="W3" s="107" t="s">
        <v>118</v>
      </c>
      <c r="X3" s="107" t="s">
        <v>48</v>
      </c>
      <c r="Y3" s="107" t="s">
        <v>49</v>
      </c>
      <c r="Z3" s="107" t="s">
        <v>50</v>
      </c>
      <c r="AA3" s="107" t="s">
        <v>51</v>
      </c>
      <c r="AB3" s="107" t="s">
        <v>52</v>
      </c>
      <c r="AC3" s="107" t="s">
        <v>69</v>
      </c>
      <c r="AD3" s="107" t="s">
        <v>70</v>
      </c>
      <c r="AE3" s="107" t="s">
        <v>75</v>
      </c>
      <c r="AF3" s="107" t="s">
        <v>76</v>
      </c>
      <c r="AG3" s="107" t="s">
        <v>105</v>
      </c>
      <c r="AH3" s="107" t="s">
        <v>119</v>
      </c>
      <c r="AI3" s="107" t="s">
        <v>109</v>
      </c>
    </row>
    <row r="4" spans="1:35" ht="26.25" thickTop="1">
      <c r="A4" s="108">
        <v>1</v>
      </c>
      <c r="B4" s="109" t="s">
        <v>77</v>
      </c>
      <c r="C4" s="110">
        <v>0</v>
      </c>
      <c r="D4" s="110">
        <v>0</v>
      </c>
      <c r="E4" s="110">
        <v>0</v>
      </c>
      <c r="F4" s="110">
        <v>0</v>
      </c>
      <c r="G4" s="110">
        <v>0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0">
        <v>0</v>
      </c>
      <c r="N4" s="110">
        <v>0</v>
      </c>
      <c r="O4" s="110">
        <v>0</v>
      </c>
      <c r="P4" s="110">
        <v>0</v>
      </c>
      <c r="Q4" s="110">
        <v>0</v>
      </c>
      <c r="R4" s="110">
        <v>0</v>
      </c>
      <c r="S4" s="110">
        <v>0</v>
      </c>
      <c r="T4" s="110">
        <v>0</v>
      </c>
      <c r="U4" s="110">
        <v>0</v>
      </c>
      <c r="V4" s="110">
        <v>48.852</v>
      </c>
      <c r="W4" s="110">
        <v>60.03</v>
      </c>
      <c r="X4" s="110">
        <v>83.214</v>
      </c>
      <c r="Y4" s="110">
        <v>162.702</v>
      </c>
      <c r="Z4" s="110">
        <v>139.104</v>
      </c>
      <c r="AA4" s="110">
        <v>218.178</v>
      </c>
      <c r="AB4" s="110">
        <v>233.91</v>
      </c>
      <c r="AC4" s="110">
        <v>255.852</v>
      </c>
      <c r="AD4" s="110">
        <v>261.648</v>
      </c>
      <c r="AE4" s="110">
        <v>285.66</v>
      </c>
      <c r="AF4" s="110">
        <v>277.38</v>
      </c>
      <c r="AG4" s="110">
        <v>353.97</v>
      </c>
      <c r="AH4" s="110">
        <v>149.868</v>
      </c>
      <c r="AI4" s="110">
        <v>406.548</v>
      </c>
    </row>
    <row r="5" spans="1:35" ht="25.5">
      <c r="A5" s="108">
        <v>2</v>
      </c>
      <c r="B5" s="109" t="s">
        <v>78</v>
      </c>
      <c r="C5" s="110">
        <v>33298.864</v>
      </c>
      <c r="D5" s="110">
        <v>42994.82</v>
      </c>
      <c r="E5" s="110">
        <v>37891.932</v>
      </c>
      <c r="F5" s="110">
        <v>39544.452</v>
      </c>
      <c r="G5" s="110">
        <v>37646.984</v>
      </c>
      <c r="H5" s="110">
        <v>37814.58</v>
      </c>
      <c r="I5" s="110">
        <v>39287.784</v>
      </c>
      <c r="J5" s="110">
        <v>39891.364</v>
      </c>
      <c r="K5" s="110">
        <v>37624.716</v>
      </c>
      <c r="L5" s="110">
        <v>34184.896</v>
      </c>
      <c r="M5" s="110">
        <v>40661.368</v>
      </c>
      <c r="N5" s="110">
        <v>37976.316</v>
      </c>
      <c r="O5" s="110">
        <v>38172.8745</v>
      </c>
      <c r="P5" s="110">
        <v>33805.679</v>
      </c>
      <c r="Q5" s="110">
        <v>32155.1805</v>
      </c>
      <c r="R5" s="110">
        <v>35251.9885</v>
      </c>
      <c r="S5" s="110">
        <v>34175.0205</v>
      </c>
      <c r="T5" s="110">
        <v>33291.8335</v>
      </c>
      <c r="U5" s="110">
        <v>35367.6245</v>
      </c>
      <c r="V5" s="110">
        <v>35849.0465</v>
      </c>
      <c r="W5" s="110">
        <v>34396.8785</v>
      </c>
      <c r="X5" s="110">
        <v>32270.2925</v>
      </c>
      <c r="Y5" s="110">
        <v>36069.416</v>
      </c>
      <c r="Z5" s="110">
        <v>31462.5555</v>
      </c>
      <c r="AA5" s="110">
        <v>35587.366</v>
      </c>
      <c r="AB5" s="110">
        <v>34711.1765</v>
      </c>
      <c r="AC5" s="110">
        <v>33685.3865</v>
      </c>
      <c r="AD5" s="110">
        <v>34455.682</v>
      </c>
      <c r="AE5" s="110">
        <v>33431.904</v>
      </c>
      <c r="AF5" s="110">
        <v>36268.291</v>
      </c>
      <c r="AG5" s="110">
        <v>34144.802</v>
      </c>
      <c r="AH5" s="110">
        <v>33262.8545</v>
      </c>
      <c r="AI5" s="110">
        <v>38027.956</v>
      </c>
    </row>
    <row r="6" spans="1:35" ht="25.5">
      <c r="A6" s="108">
        <v>3</v>
      </c>
      <c r="B6" s="109" t="s">
        <v>79</v>
      </c>
      <c r="C6" s="110">
        <v>8803.13</v>
      </c>
      <c r="D6" s="110">
        <v>11715.1405</v>
      </c>
      <c r="E6" s="110">
        <v>10557.953</v>
      </c>
      <c r="F6" s="110">
        <v>10487.211</v>
      </c>
      <c r="G6" s="110">
        <v>11518.808</v>
      </c>
      <c r="H6" s="110">
        <v>10370.3355</v>
      </c>
      <c r="I6" s="110">
        <v>11688.6</v>
      </c>
      <c r="J6" s="110">
        <v>12624.4125</v>
      </c>
      <c r="K6" s="110">
        <v>12141.4125</v>
      </c>
      <c r="L6" s="110">
        <v>11583.95</v>
      </c>
      <c r="M6" s="110">
        <v>13043.0125</v>
      </c>
      <c r="N6" s="110">
        <v>12628.4375</v>
      </c>
      <c r="O6" s="110">
        <v>12942.7375</v>
      </c>
      <c r="P6" s="110">
        <v>12139.7375</v>
      </c>
      <c r="Q6" s="110">
        <v>11286.7625</v>
      </c>
      <c r="R6" s="110">
        <v>11896.0125</v>
      </c>
      <c r="S6" s="110">
        <v>11473.35</v>
      </c>
      <c r="T6" s="110">
        <v>11675.2875</v>
      </c>
      <c r="U6" s="110">
        <v>12581.2125</v>
      </c>
      <c r="V6" s="110">
        <v>13165.4875</v>
      </c>
      <c r="W6" s="110">
        <v>12156.3375</v>
      </c>
      <c r="X6" s="110">
        <v>11079.5125</v>
      </c>
      <c r="Y6" s="110">
        <v>11905.3375</v>
      </c>
      <c r="Z6" s="110">
        <v>10844.6375</v>
      </c>
      <c r="AA6" s="110">
        <v>12422.55</v>
      </c>
      <c r="AB6" s="110">
        <v>11583.8375</v>
      </c>
      <c r="AC6" s="110">
        <v>11009.8</v>
      </c>
      <c r="AD6" s="110">
        <v>11633.05</v>
      </c>
      <c r="AE6" s="110">
        <v>11043.0375</v>
      </c>
      <c r="AF6" s="110">
        <v>12401.325</v>
      </c>
      <c r="AG6" s="110">
        <v>11472.175</v>
      </c>
      <c r="AH6" s="110">
        <v>10978.7625</v>
      </c>
      <c r="AI6" s="110">
        <v>11687.425</v>
      </c>
    </row>
    <row r="7" spans="1:35" ht="25.5">
      <c r="A7" s="108">
        <v>4</v>
      </c>
      <c r="B7" s="109" t="s">
        <v>80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  <c r="S7" s="110">
        <v>0</v>
      </c>
      <c r="T7" s="110">
        <v>0</v>
      </c>
      <c r="U7" s="110">
        <v>0</v>
      </c>
      <c r="V7" s="110">
        <v>0</v>
      </c>
      <c r="W7" s="110">
        <v>0</v>
      </c>
      <c r="X7" s="110">
        <v>0</v>
      </c>
      <c r="Y7" s="110">
        <v>0</v>
      </c>
      <c r="Z7" s="110">
        <v>0</v>
      </c>
      <c r="AA7" s="110">
        <v>0</v>
      </c>
      <c r="AB7" s="110">
        <v>0</v>
      </c>
      <c r="AC7" s="110">
        <v>0</v>
      </c>
      <c r="AD7" s="110">
        <v>0</v>
      </c>
      <c r="AE7" s="110">
        <v>49.631</v>
      </c>
      <c r="AF7" s="110">
        <v>51.9125</v>
      </c>
      <c r="AG7" s="110">
        <v>136.949</v>
      </c>
      <c r="AH7" s="110">
        <v>130.8525</v>
      </c>
      <c r="AI7" s="110">
        <v>232.757</v>
      </c>
    </row>
    <row r="8" spans="1:35" ht="25.5">
      <c r="A8" s="108">
        <v>5</v>
      </c>
      <c r="B8" s="109" t="s">
        <v>81</v>
      </c>
      <c r="C8" s="110">
        <v>54587.199</v>
      </c>
      <c r="D8" s="110">
        <v>66837.8805</v>
      </c>
      <c r="E8" s="110">
        <v>61208.1105</v>
      </c>
      <c r="F8" s="110">
        <v>62819.3895</v>
      </c>
      <c r="G8" s="110">
        <v>62612.3175</v>
      </c>
      <c r="H8" s="110">
        <v>63321.9705</v>
      </c>
      <c r="I8" s="110">
        <v>64306.641</v>
      </c>
      <c r="J8" s="110">
        <v>65618.097</v>
      </c>
      <c r="K8" s="110">
        <v>65753.988</v>
      </c>
      <c r="L8" s="110">
        <v>58235.7645</v>
      </c>
      <c r="M8" s="110">
        <v>71284.536</v>
      </c>
      <c r="N8" s="110">
        <v>65926.548</v>
      </c>
      <c r="O8" s="110">
        <v>68196.7905</v>
      </c>
      <c r="P8" s="110">
        <v>65128.458</v>
      </c>
      <c r="Q8" s="110">
        <v>61414.104</v>
      </c>
      <c r="R8" s="110">
        <v>65024.922</v>
      </c>
      <c r="S8" s="110">
        <v>64253.7945</v>
      </c>
      <c r="T8" s="110">
        <v>61334.295</v>
      </c>
      <c r="U8" s="110">
        <v>63891.4185</v>
      </c>
      <c r="V8" s="110">
        <v>65027.079</v>
      </c>
      <c r="W8" s="110">
        <v>62412.795</v>
      </c>
      <c r="X8" s="110">
        <v>59728.4085</v>
      </c>
      <c r="Y8" s="110">
        <v>64818.9285</v>
      </c>
      <c r="Z8" s="110">
        <v>56642.82</v>
      </c>
      <c r="AA8" s="110">
        <v>63585.1245</v>
      </c>
      <c r="AB8" s="110">
        <v>61761.381</v>
      </c>
      <c r="AC8" s="110">
        <v>54391.828</v>
      </c>
      <c r="AD8" s="110">
        <v>53605.086</v>
      </c>
      <c r="AE8" s="110">
        <v>48200.5497</v>
      </c>
      <c r="AF8" s="110">
        <v>51274.6658</v>
      </c>
      <c r="AG8" s="110">
        <v>47824.8328</v>
      </c>
      <c r="AH8" s="110">
        <v>44633.9292</v>
      </c>
      <c r="AI8" s="110">
        <v>50690.5486</v>
      </c>
    </row>
    <row r="9" spans="1:35" ht="25.5">
      <c r="A9" s="108">
        <v>6</v>
      </c>
      <c r="B9" s="109" t="s">
        <v>82</v>
      </c>
      <c r="C9" s="110">
        <v>38852.088</v>
      </c>
      <c r="D9" s="110">
        <v>47915.153</v>
      </c>
      <c r="E9" s="110">
        <v>45624.1555</v>
      </c>
      <c r="F9" s="110">
        <v>45323.399</v>
      </c>
      <c r="G9" s="110">
        <v>46021.8</v>
      </c>
      <c r="H9" s="110">
        <v>46362.9265</v>
      </c>
      <c r="I9" s="110">
        <v>49071.7535</v>
      </c>
      <c r="J9" s="110">
        <v>50492.7775</v>
      </c>
      <c r="K9" s="110">
        <v>48823.478</v>
      </c>
      <c r="L9" s="110">
        <v>44374.704</v>
      </c>
      <c r="M9" s="110">
        <v>53690.0815</v>
      </c>
      <c r="N9" s="110">
        <v>51304.2145</v>
      </c>
      <c r="O9" s="110">
        <v>53817.247</v>
      </c>
      <c r="P9" s="110">
        <v>53143.068</v>
      </c>
      <c r="Q9" s="110">
        <v>49138.364</v>
      </c>
      <c r="R9" s="110">
        <v>54584.277</v>
      </c>
      <c r="S9" s="110">
        <v>52567.7955</v>
      </c>
      <c r="T9" s="110">
        <v>50799.5895</v>
      </c>
      <c r="U9" s="110">
        <v>52460.815</v>
      </c>
      <c r="V9" s="110">
        <v>52836.256</v>
      </c>
      <c r="W9" s="110">
        <v>51770.488</v>
      </c>
      <c r="X9" s="110">
        <v>47925.2455</v>
      </c>
      <c r="Y9" s="110">
        <v>52836.256</v>
      </c>
      <c r="Z9" s="110">
        <v>46994.717</v>
      </c>
      <c r="AA9" s="110">
        <v>53502.361</v>
      </c>
      <c r="AB9" s="110">
        <v>52755.516</v>
      </c>
      <c r="AC9" s="110">
        <v>45836.8295</v>
      </c>
      <c r="AD9" s="110">
        <v>46236.6765</v>
      </c>
      <c r="AE9" s="110">
        <v>40688.516</v>
      </c>
      <c r="AF9" s="110">
        <v>41957.8495</v>
      </c>
      <c r="AG9" s="110">
        <v>38379.1002</v>
      </c>
      <c r="AH9" s="110">
        <v>36215.9777</v>
      </c>
      <c r="AI9" s="110">
        <v>43305.1392</v>
      </c>
    </row>
    <row r="10" spans="1:35" ht="12.75">
      <c r="A10" s="108">
        <v>7</v>
      </c>
      <c r="B10" s="109" t="s">
        <v>83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110">
        <v>0</v>
      </c>
      <c r="Z10" s="110">
        <v>0</v>
      </c>
      <c r="AA10" s="110">
        <v>0</v>
      </c>
      <c r="AB10" s="110">
        <v>416.432</v>
      </c>
      <c r="AC10" s="110">
        <v>650.675</v>
      </c>
      <c r="AD10" s="110">
        <v>1005.867</v>
      </c>
      <c r="AE10" s="110">
        <v>1319.722</v>
      </c>
      <c r="AF10" s="110">
        <v>2591.983</v>
      </c>
      <c r="AG10" s="110">
        <v>3044.5667</v>
      </c>
      <c r="AH10" s="110">
        <v>3780.3223</v>
      </c>
      <c r="AI10" s="110">
        <v>4539.472</v>
      </c>
    </row>
    <row r="11" spans="1:35" ht="25.5">
      <c r="A11" s="108">
        <v>8</v>
      </c>
      <c r="B11" s="109" t="s">
        <v>84</v>
      </c>
      <c r="C11" s="110">
        <v>2168.605</v>
      </c>
      <c r="D11" s="110">
        <v>2671.458</v>
      </c>
      <c r="E11" s="110">
        <v>2420.443</v>
      </c>
      <c r="F11" s="110">
        <v>2594.919</v>
      </c>
      <c r="G11" s="110">
        <v>2363.656</v>
      </c>
      <c r="H11" s="110">
        <v>2382.585</v>
      </c>
      <c r="I11" s="110">
        <v>2473.938</v>
      </c>
      <c r="J11" s="110">
        <v>2613.025</v>
      </c>
      <c r="K11" s="110">
        <v>2273.126</v>
      </c>
      <c r="L11" s="110">
        <v>2436.903</v>
      </c>
      <c r="M11" s="110">
        <v>2616.317</v>
      </c>
      <c r="N11" s="110">
        <v>2247.613</v>
      </c>
      <c r="O11" s="110">
        <v>2556.238</v>
      </c>
      <c r="P11" s="110">
        <v>2581.751</v>
      </c>
      <c r="Q11" s="110">
        <v>2268.188</v>
      </c>
      <c r="R11" s="110">
        <v>2458.301</v>
      </c>
      <c r="S11" s="110">
        <v>2527.433</v>
      </c>
      <c r="T11" s="110">
        <v>2468.177</v>
      </c>
      <c r="U11" s="110">
        <v>2617.963</v>
      </c>
      <c r="V11" s="110">
        <v>2904.367</v>
      </c>
      <c r="W11" s="110">
        <v>2911.774</v>
      </c>
      <c r="X11" s="110">
        <v>2578.459</v>
      </c>
      <c r="Y11" s="110">
        <v>2927.411</v>
      </c>
      <c r="Z11" s="110">
        <v>2392.461</v>
      </c>
      <c r="AA11" s="110">
        <v>2948.809</v>
      </c>
      <c r="AB11" s="110">
        <v>2715.077</v>
      </c>
      <c r="AC11" s="110">
        <v>2612.202</v>
      </c>
      <c r="AD11" s="110">
        <v>2673.927</v>
      </c>
      <c r="AE11" s="110">
        <v>2546.14</v>
      </c>
      <c r="AF11" s="110">
        <v>2784.335</v>
      </c>
      <c r="AG11" s="110">
        <v>2591.926</v>
      </c>
      <c r="AH11" s="110">
        <v>2413.946</v>
      </c>
      <c r="AI11" s="110">
        <v>2774.0758</v>
      </c>
    </row>
    <row r="12" spans="1:35" ht="25.5">
      <c r="A12" s="108">
        <v>9</v>
      </c>
      <c r="B12" s="109" t="s">
        <v>85</v>
      </c>
      <c r="C12" s="110">
        <v>6791.82</v>
      </c>
      <c r="D12" s="110">
        <v>8022.567</v>
      </c>
      <c r="E12" s="110">
        <v>7278.495</v>
      </c>
      <c r="F12" s="110">
        <v>7175.7525</v>
      </c>
      <c r="G12" s="110">
        <v>7260.1095</v>
      </c>
      <c r="H12" s="110">
        <v>7381.2375</v>
      </c>
      <c r="I12" s="110">
        <v>7969.5735</v>
      </c>
      <c r="J12" s="110">
        <v>8468.145</v>
      </c>
      <c r="K12" s="110">
        <v>8096.109</v>
      </c>
      <c r="L12" s="110">
        <v>7534.8105</v>
      </c>
      <c r="M12" s="110">
        <v>9006.732</v>
      </c>
      <c r="N12" s="110">
        <v>8599.0065</v>
      </c>
      <c r="O12" s="110">
        <v>9237.0915</v>
      </c>
      <c r="P12" s="110">
        <v>8285.3715</v>
      </c>
      <c r="Q12" s="110">
        <v>7875.483</v>
      </c>
      <c r="R12" s="110">
        <v>8949.4125</v>
      </c>
      <c r="S12" s="110">
        <v>7813.8375</v>
      </c>
      <c r="T12" s="110">
        <v>7929.558</v>
      </c>
      <c r="U12" s="110">
        <v>8047.4415</v>
      </c>
      <c r="V12" s="110">
        <v>7499.121</v>
      </c>
      <c r="W12" s="110">
        <v>7707.8505</v>
      </c>
      <c r="X12" s="110">
        <v>7254.702</v>
      </c>
      <c r="Y12" s="110">
        <v>7536.9735</v>
      </c>
      <c r="Z12" s="110">
        <v>6872.9325</v>
      </c>
      <c r="AA12" s="110">
        <v>7818.1635</v>
      </c>
      <c r="AB12" s="110">
        <v>7305.5325</v>
      </c>
      <c r="AC12" s="110">
        <v>6692.322</v>
      </c>
      <c r="AD12" s="110">
        <v>7031.913</v>
      </c>
      <c r="AE12" s="110">
        <v>7022.3385</v>
      </c>
      <c r="AF12" s="110">
        <v>7563.0205</v>
      </c>
      <c r="AG12" s="110">
        <v>7084.766</v>
      </c>
      <c r="AH12" s="110">
        <v>6748.294</v>
      </c>
      <c r="AI12" s="110">
        <v>7467.031</v>
      </c>
    </row>
    <row r="13" spans="1:35" ht="25.5">
      <c r="A13" s="108">
        <v>10</v>
      </c>
      <c r="B13" s="109" t="s">
        <v>86</v>
      </c>
      <c r="C13" s="110">
        <v>7738.905</v>
      </c>
      <c r="D13" s="110">
        <v>9806.115</v>
      </c>
      <c r="E13" s="110">
        <v>8611.83</v>
      </c>
      <c r="F13" s="110">
        <v>8981.085</v>
      </c>
      <c r="G13" s="110">
        <v>9375.06</v>
      </c>
      <c r="H13" s="110">
        <v>9293.175</v>
      </c>
      <c r="I13" s="110">
        <v>9497.115</v>
      </c>
      <c r="J13" s="110">
        <v>9897.27</v>
      </c>
      <c r="K13" s="110">
        <v>9452.31</v>
      </c>
      <c r="L13" s="110">
        <v>8871.39</v>
      </c>
      <c r="M13" s="110">
        <v>11025.12</v>
      </c>
      <c r="N13" s="110">
        <v>9563.55</v>
      </c>
      <c r="O13" s="110">
        <v>10784.1</v>
      </c>
      <c r="P13" s="110">
        <v>9996.15</v>
      </c>
      <c r="Q13" s="110">
        <v>9540.375</v>
      </c>
      <c r="R13" s="110">
        <v>9921.99</v>
      </c>
      <c r="S13" s="110">
        <v>9625.35</v>
      </c>
      <c r="T13" s="110">
        <v>9801.48</v>
      </c>
      <c r="U13" s="110">
        <v>9892.635</v>
      </c>
      <c r="V13" s="110">
        <v>9849.375</v>
      </c>
      <c r="W13" s="110">
        <v>10061.04</v>
      </c>
      <c r="X13" s="110">
        <v>9291.63</v>
      </c>
      <c r="Y13" s="110">
        <v>10078.035</v>
      </c>
      <c r="Z13" s="110">
        <v>8672.085</v>
      </c>
      <c r="AA13" s="110">
        <v>9747.405</v>
      </c>
      <c r="AB13" s="110">
        <v>9807.66</v>
      </c>
      <c r="AC13" s="110">
        <v>8965.635</v>
      </c>
      <c r="AD13" s="110">
        <v>9689.3486</v>
      </c>
      <c r="AE13" s="110">
        <v>8495.8376</v>
      </c>
      <c r="AF13" s="110">
        <v>9444.4933</v>
      </c>
      <c r="AG13" s="110">
        <v>9058.5438</v>
      </c>
      <c r="AH13" s="110">
        <v>9171.1147</v>
      </c>
      <c r="AI13" s="110">
        <v>9805.0362</v>
      </c>
    </row>
    <row r="14" spans="1:35" ht="12.75">
      <c r="A14" s="108">
        <v>11</v>
      </c>
      <c r="B14" s="109" t="s">
        <v>87</v>
      </c>
      <c r="C14" s="110">
        <v>33111.284</v>
      </c>
      <c r="D14" s="110">
        <v>41258.184</v>
      </c>
      <c r="E14" s="110">
        <v>38065.36</v>
      </c>
      <c r="F14" s="110">
        <v>37392.052</v>
      </c>
      <c r="G14" s="110">
        <v>37946.168</v>
      </c>
      <c r="H14" s="110">
        <v>37735.68</v>
      </c>
      <c r="I14" s="110">
        <v>40730.696</v>
      </c>
      <c r="J14" s="110">
        <v>40885.392</v>
      </c>
      <c r="K14" s="110">
        <v>40771.272</v>
      </c>
      <c r="L14" s="110">
        <v>38406.452</v>
      </c>
      <c r="M14" s="110">
        <v>45703.792</v>
      </c>
      <c r="N14" s="110">
        <v>42076.044</v>
      </c>
      <c r="O14" s="110">
        <v>45949.784</v>
      </c>
      <c r="P14" s="110">
        <v>43344.044</v>
      </c>
      <c r="Q14" s="110">
        <v>41250.576</v>
      </c>
      <c r="R14" s="110">
        <v>43086.64</v>
      </c>
      <c r="S14" s="110">
        <v>44775.616</v>
      </c>
      <c r="T14" s="110">
        <v>42212.988</v>
      </c>
      <c r="U14" s="110">
        <v>44506.8</v>
      </c>
      <c r="V14" s="110">
        <v>44212.624</v>
      </c>
      <c r="W14" s="110">
        <v>42333.448</v>
      </c>
      <c r="X14" s="110">
        <v>40421.304</v>
      </c>
      <c r="Y14" s="110">
        <v>45220.684</v>
      </c>
      <c r="Z14" s="110">
        <v>38515.5</v>
      </c>
      <c r="AA14" s="110">
        <v>45100.224</v>
      </c>
      <c r="AB14" s="110">
        <v>40033.136</v>
      </c>
      <c r="AC14" s="110">
        <v>37923.6</v>
      </c>
      <c r="AD14" s="110">
        <v>40555.944</v>
      </c>
      <c r="AE14" s="110">
        <v>37335.584</v>
      </c>
      <c r="AF14" s="110">
        <v>40556.678</v>
      </c>
      <c r="AG14" s="110">
        <v>37701.2935</v>
      </c>
      <c r="AH14" s="110">
        <v>30521.655</v>
      </c>
      <c r="AI14" s="110">
        <v>34276.2215</v>
      </c>
    </row>
    <row r="15" spans="1:35" ht="12.75">
      <c r="A15" s="108">
        <v>12</v>
      </c>
      <c r="B15" s="109" t="s">
        <v>88</v>
      </c>
      <c r="C15" s="110">
        <v>22112.343</v>
      </c>
      <c r="D15" s="110">
        <v>26450.5615</v>
      </c>
      <c r="E15" s="110">
        <v>23389.3275</v>
      </c>
      <c r="F15" s="110">
        <v>25777.884</v>
      </c>
      <c r="G15" s="110">
        <v>26726.249</v>
      </c>
      <c r="H15" s="110">
        <v>26649.0565</v>
      </c>
      <c r="I15" s="110">
        <v>27387.899</v>
      </c>
      <c r="J15" s="110">
        <v>30045.5265</v>
      </c>
      <c r="K15" s="110">
        <v>28113.5085</v>
      </c>
      <c r="L15" s="110">
        <v>25826.405</v>
      </c>
      <c r="M15" s="110">
        <v>30696.149</v>
      </c>
      <c r="N15" s="110">
        <v>29588.988</v>
      </c>
      <c r="O15" s="110">
        <v>30116.1025</v>
      </c>
      <c r="P15" s="110">
        <v>31161.5095</v>
      </c>
      <c r="Q15" s="110">
        <v>28720.021</v>
      </c>
      <c r="R15" s="110">
        <v>31011.5355</v>
      </c>
      <c r="S15" s="110">
        <v>28797.2135</v>
      </c>
      <c r="T15" s="110">
        <v>28217.167</v>
      </c>
      <c r="U15" s="110">
        <v>28686.9385</v>
      </c>
      <c r="V15" s="110">
        <v>29922.0185</v>
      </c>
      <c r="W15" s="110">
        <v>29278.0125</v>
      </c>
      <c r="X15" s="110">
        <v>27652.559</v>
      </c>
      <c r="Y15" s="110">
        <v>30918.9045</v>
      </c>
      <c r="Z15" s="110">
        <v>26439.534</v>
      </c>
      <c r="AA15" s="110">
        <v>30771.136</v>
      </c>
      <c r="AB15" s="110">
        <v>27243.756</v>
      </c>
      <c r="AC15" s="110">
        <v>24695.1855</v>
      </c>
      <c r="AD15" s="110">
        <v>27593.757</v>
      </c>
      <c r="AE15" s="110">
        <v>25829.6715</v>
      </c>
      <c r="AF15" s="110">
        <v>27571.6011</v>
      </c>
      <c r="AG15" s="110">
        <v>26723.0032</v>
      </c>
      <c r="AH15" s="110">
        <v>23971.3378</v>
      </c>
      <c r="AI15" s="110">
        <v>27539.6669</v>
      </c>
    </row>
    <row r="16" spans="1:35" ht="12.75">
      <c r="A16" s="108">
        <v>13</v>
      </c>
      <c r="B16" s="109" t="s">
        <v>89</v>
      </c>
      <c r="C16" s="110">
        <v>24836.091</v>
      </c>
      <c r="D16" s="110">
        <v>29831.2575</v>
      </c>
      <c r="E16" s="110">
        <v>26520.0945</v>
      </c>
      <c r="F16" s="110">
        <v>27401.1765</v>
      </c>
      <c r="G16" s="110">
        <v>26844.579</v>
      </c>
      <c r="H16" s="110">
        <v>26167.188</v>
      </c>
      <c r="I16" s="110">
        <v>27943.563</v>
      </c>
      <c r="J16" s="110">
        <v>27680.6595</v>
      </c>
      <c r="K16" s="110">
        <v>27128.799</v>
      </c>
      <c r="L16" s="110">
        <v>24779.247</v>
      </c>
      <c r="M16" s="110">
        <v>29499.6675</v>
      </c>
      <c r="N16" s="110">
        <v>26662.2045</v>
      </c>
      <c r="O16" s="110">
        <v>28116.4635</v>
      </c>
      <c r="P16" s="110">
        <v>27690.1335</v>
      </c>
      <c r="Q16" s="110">
        <v>26325.8775</v>
      </c>
      <c r="R16" s="110">
        <v>28855.4355</v>
      </c>
      <c r="S16" s="110">
        <v>28166.202</v>
      </c>
      <c r="T16" s="110">
        <v>26719.0485</v>
      </c>
      <c r="U16" s="110">
        <v>29547.0375</v>
      </c>
      <c r="V16" s="110">
        <v>28294.101</v>
      </c>
      <c r="W16" s="110">
        <v>28320.1545</v>
      </c>
      <c r="X16" s="110">
        <v>26778.261</v>
      </c>
      <c r="Y16" s="110">
        <v>29468.877</v>
      </c>
      <c r="Z16" s="110">
        <v>25795.3335</v>
      </c>
      <c r="AA16" s="110">
        <v>29994.684</v>
      </c>
      <c r="AB16" s="110">
        <v>26638.352</v>
      </c>
      <c r="AC16" s="110">
        <v>24952.954</v>
      </c>
      <c r="AD16" s="110">
        <v>26690.144</v>
      </c>
      <c r="AE16" s="110">
        <v>25421.24</v>
      </c>
      <c r="AF16" s="110">
        <v>27387.1188</v>
      </c>
      <c r="AG16" s="110">
        <v>25132.7691</v>
      </c>
      <c r="AH16" s="110">
        <v>23970.0325</v>
      </c>
      <c r="AI16" s="110">
        <v>28290.3485</v>
      </c>
    </row>
    <row r="17" spans="1:35" ht="12.75">
      <c r="A17" s="108">
        <v>14</v>
      </c>
      <c r="B17" s="109" t="s">
        <v>90</v>
      </c>
      <c r="C17" s="110">
        <v>1053.9825</v>
      </c>
      <c r="D17" s="110">
        <v>1693.4775</v>
      </c>
      <c r="E17" s="110">
        <v>1193.724</v>
      </c>
      <c r="F17" s="110">
        <v>1335.834</v>
      </c>
      <c r="G17" s="110">
        <v>1601.106</v>
      </c>
      <c r="H17" s="110">
        <v>1570.3155</v>
      </c>
      <c r="I17" s="110">
        <v>2025.0675</v>
      </c>
      <c r="J17" s="110">
        <v>2105.5965</v>
      </c>
      <c r="K17" s="110">
        <v>2257.1805</v>
      </c>
      <c r="L17" s="110">
        <v>2290.3395</v>
      </c>
      <c r="M17" s="110">
        <v>2292.708</v>
      </c>
      <c r="N17" s="110">
        <v>2967.7305</v>
      </c>
      <c r="O17" s="110">
        <v>2463.24</v>
      </c>
      <c r="P17" s="110">
        <v>2370.8685</v>
      </c>
      <c r="Q17" s="110">
        <v>2368.5</v>
      </c>
      <c r="R17" s="110">
        <v>2340.078</v>
      </c>
      <c r="S17" s="110">
        <v>2576.928</v>
      </c>
      <c r="T17" s="110">
        <v>2167.1775</v>
      </c>
      <c r="U17" s="110">
        <v>2155.335</v>
      </c>
      <c r="V17" s="110">
        <v>2074.806</v>
      </c>
      <c r="W17" s="110">
        <v>2186.1255</v>
      </c>
      <c r="X17" s="110">
        <v>2150.598</v>
      </c>
      <c r="Y17" s="110">
        <v>2058.2265</v>
      </c>
      <c r="Z17" s="110">
        <v>2074.806</v>
      </c>
      <c r="AA17" s="110">
        <v>2219.2845</v>
      </c>
      <c r="AB17" s="110">
        <v>2136.42</v>
      </c>
      <c r="AC17" s="110">
        <v>2063.048</v>
      </c>
      <c r="AD17" s="110">
        <v>2606.864</v>
      </c>
      <c r="AE17" s="110">
        <v>2591.758</v>
      </c>
      <c r="AF17" s="110">
        <v>2723.396</v>
      </c>
      <c r="AG17" s="110">
        <v>2861.508</v>
      </c>
      <c r="AH17" s="110">
        <v>2962.934</v>
      </c>
      <c r="AI17" s="110">
        <v>4164.94</v>
      </c>
    </row>
    <row r="18" spans="1:35" ht="12.75">
      <c r="A18" s="108">
        <v>15</v>
      </c>
      <c r="B18" s="109" t="s">
        <v>91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0">
        <v>0</v>
      </c>
      <c r="V18" s="110">
        <v>0</v>
      </c>
      <c r="W18" s="110">
        <v>0</v>
      </c>
      <c r="X18" s="110">
        <v>1542.6225</v>
      </c>
      <c r="Y18" s="110">
        <v>3842.8755</v>
      </c>
      <c r="Z18" s="110">
        <v>5005.2675</v>
      </c>
      <c r="AA18" s="110">
        <v>7142.295</v>
      </c>
      <c r="AB18" s="110">
        <v>8441.4945</v>
      </c>
      <c r="AC18" s="110">
        <v>8737.6329</v>
      </c>
      <c r="AD18" s="110">
        <v>9769.7416</v>
      </c>
      <c r="AE18" s="110">
        <v>10081.7635</v>
      </c>
      <c r="AF18" s="110">
        <v>11990.7219</v>
      </c>
      <c r="AG18" s="110">
        <v>12531.1465</v>
      </c>
      <c r="AH18" s="110">
        <v>11838.7099</v>
      </c>
      <c r="AI18" s="110">
        <v>15156.718</v>
      </c>
    </row>
    <row r="19" spans="1:35" ht="12.75">
      <c r="A19" s="108">
        <v>16</v>
      </c>
      <c r="B19" s="109" t="s">
        <v>92</v>
      </c>
      <c r="C19" s="110">
        <v>5705.4825</v>
      </c>
      <c r="D19" s="110">
        <v>9979.4475</v>
      </c>
      <c r="E19" s="110">
        <v>10893.5325</v>
      </c>
      <c r="F19" s="110">
        <v>10742.5575</v>
      </c>
      <c r="G19" s="110">
        <v>11421.945</v>
      </c>
      <c r="H19" s="110">
        <v>10796.085</v>
      </c>
      <c r="I19" s="110">
        <v>10634.13</v>
      </c>
      <c r="J19" s="110">
        <v>10337.67</v>
      </c>
      <c r="K19" s="110">
        <v>10490.0175</v>
      </c>
      <c r="L19" s="110">
        <v>10704.1275</v>
      </c>
      <c r="M19" s="110">
        <v>12839.7375</v>
      </c>
      <c r="N19" s="110">
        <v>12957.7725</v>
      </c>
      <c r="O19" s="110">
        <v>14553.99</v>
      </c>
      <c r="P19" s="110">
        <v>15333.57</v>
      </c>
      <c r="Q19" s="110">
        <v>14312.43</v>
      </c>
      <c r="R19" s="110">
        <v>15790.6125</v>
      </c>
      <c r="S19" s="110">
        <v>16017.075</v>
      </c>
      <c r="T19" s="110">
        <v>15584.7375</v>
      </c>
      <c r="U19" s="110">
        <v>16830.9675</v>
      </c>
      <c r="V19" s="110">
        <v>17528.1975</v>
      </c>
      <c r="W19" s="110">
        <v>17728.5825</v>
      </c>
      <c r="X19" s="110">
        <v>17231.7375</v>
      </c>
      <c r="Y19" s="110">
        <v>20005.56</v>
      </c>
      <c r="Z19" s="110">
        <v>17130.1725</v>
      </c>
      <c r="AA19" s="110">
        <v>19372.8375</v>
      </c>
      <c r="AB19" s="110">
        <v>20977.29</v>
      </c>
      <c r="AC19" s="110">
        <v>18716.7825</v>
      </c>
      <c r="AD19" s="110">
        <v>21519.4275</v>
      </c>
      <c r="AE19" s="110">
        <v>19724.1975</v>
      </c>
      <c r="AF19" s="110">
        <v>22540.5675</v>
      </c>
      <c r="AG19" s="110">
        <v>20505.15</v>
      </c>
      <c r="AH19" s="110">
        <v>19884.78</v>
      </c>
      <c r="AI19" s="110">
        <v>22998.9825</v>
      </c>
    </row>
    <row r="20" spans="1:35" ht="12.75">
      <c r="A20" s="108">
        <v>17</v>
      </c>
      <c r="B20" s="109" t="s">
        <v>93</v>
      </c>
      <c r="C20" s="110">
        <v>584.586</v>
      </c>
      <c r="D20" s="110">
        <v>1094.544</v>
      </c>
      <c r="E20" s="110">
        <v>899.682</v>
      </c>
      <c r="F20" s="110">
        <v>1185.756</v>
      </c>
      <c r="G20" s="110">
        <v>1405.494</v>
      </c>
      <c r="H20" s="110">
        <v>1403.421</v>
      </c>
      <c r="I20" s="110">
        <v>1540.239</v>
      </c>
      <c r="J20" s="110">
        <v>1759.977</v>
      </c>
      <c r="K20" s="110">
        <v>1587.918</v>
      </c>
      <c r="L20" s="110">
        <v>1720.59</v>
      </c>
      <c r="M20" s="110">
        <v>2211.891</v>
      </c>
      <c r="N20" s="110">
        <v>1886.43</v>
      </c>
      <c r="O20" s="110">
        <v>2234.694</v>
      </c>
      <c r="P20" s="110">
        <v>2365.293</v>
      </c>
      <c r="Q20" s="110">
        <v>2296.884</v>
      </c>
      <c r="R20" s="110">
        <v>2319.687</v>
      </c>
      <c r="S20" s="110">
        <v>2251.278</v>
      </c>
      <c r="T20" s="110">
        <v>2228.475</v>
      </c>
      <c r="U20" s="110">
        <v>2701.119</v>
      </c>
      <c r="V20" s="110">
        <v>2800.623</v>
      </c>
      <c r="W20" s="110">
        <v>2821.353</v>
      </c>
      <c r="X20" s="110">
        <v>2840.01</v>
      </c>
      <c r="Y20" s="110">
        <v>2763.309</v>
      </c>
      <c r="Z20" s="110">
        <v>2643.075</v>
      </c>
      <c r="AA20" s="110">
        <v>3132.303</v>
      </c>
      <c r="AB20" s="110">
        <v>3341.676</v>
      </c>
      <c r="AC20" s="110">
        <v>2933.295</v>
      </c>
      <c r="AD20" s="110">
        <v>3806.028</v>
      </c>
      <c r="AE20" s="110">
        <v>3153.033</v>
      </c>
      <c r="AF20" s="110">
        <v>4042.35</v>
      </c>
      <c r="AG20" s="110">
        <v>3493.005</v>
      </c>
      <c r="AH20" s="110">
        <v>3797.736</v>
      </c>
      <c r="AI20" s="110">
        <v>4172.949</v>
      </c>
    </row>
    <row r="21" spans="1:35" ht="12.75">
      <c r="A21" s="108">
        <v>18</v>
      </c>
      <c r="B21" s="109" t="s">
        <v>94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1053.3185</v>
      </c>
      <c r="L21" s="110">
        <v>2810.353</v>
      </c>
      <c r="M21" s="110">
        <v>6428.175</v>
      </c>
      <c r="N21" s="110">
        <v>7925.827</v>
      </c>
      <c r="O21" s="110">
        <v>10666.2595</v>
      </c>
      <c r="P21" s="110">
        <v>11875.2075</v>
      </c>
      <c r="Q21" s="110">
        <v>12227.0655</v>
      </c>
      <c r="R21" s="110">
        <v>13528.489</v>
      </c>
      <c r="S21" s="110">
        <v>15366.7215</v>
      </c>
      <c r="T21" s="110">
        <v>16156.1465</v>
      </c>
      <c r="U21" s="110">
        <v>16812.497</v>
      </c>
      <c r="V21" s="110">
        <v>18707.117</v>
      </c>
      <c r="W21" s="110">
        <v>19519.097</v>
      </c>
      <c r="X21" s="110">
        <v>20069.439</v>
      </c>
      <c r="Y21" s="110">
        <v>22236.9745</v>
      </c>
      <c r="Z21" s="110">
        <v>19764.9465</v>
      </c>
      <c r="AA21" s="110">
        <v>22469.291</v>
      </c>
      <c r="AB21" s="110">
        <v>23554.1865</v>
      </c>
      <c r="AC21" s="110">
        <v>21934.7375</v>
      </c>
      <c r="AD21" s="110">
        <v>23680.4945</v>
      </c>
      <c r="AE21" s="110">
        <v>21761.064</v>
      </c>
      <c r="AF21" s="110">
        <v>24900.72</v>
      </c>
      <c r="AG21" s="110">
        <v>23355.7025</v>
      </c>
      <c r="AH21" s="110">
        <v>21332.519</v>
      </c>
      <c r="AI21" s="110">
        <v>25121.759</v>
      </c>
    </row>
    <row r="22" spans="1:35" ht="12.75">
      <c r="A22" s="108">
        <v>19</v>
      </c>
      <c r="B22" s="109" t="s">
        <v>95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10">
        <v>0</v>
      </c>
      <c r="V22" s="110">
        <v>0</v>
      </c>
      <c r="W22" s="110">
        <v>501.105</v>
      </c>
      <c r="X22" s="110">
        <v>2110.715</v>
      </c>
      <c r="Y22" s="110">
        <v>5074.827</v>
      </c>
      <c r="Z22" s="110">
        <v>5706.523</v>
      </c>
      <c r="AA22" s="110">
        <v>9235.517</v>
      </c>
      <c r="AB22" s="110">
        <v>9845.954</v>
      </c>
      <c r="AC22" s="110">
        <v>9760.918</v>
      </c>
      <c r="AD22" s="110">
        <v>11042.532</v>
      </c>
      <c r="AE22" s="110">
        <v>12041.705</v>
      </c>
      <c r="AF22" s="110">
        <v>12500.292</v>
      </c>
      <c r="AG22" s="110">
        <v>11656.006</v>
      </c>
      <c r="AH22" s="110">
        <v>12384.886</v>
      </c>
      <c r="AI22" s="110">
        <v>15965.509</v>
      </c>
    </row>
    <row r="23" spans="1:35" ht="12.75">
      <c r="A23" s="108">
        <v>20</v>
      </c>
      <c r="B23" s="109" t="s">
        <v>96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10">
        <v>0</v>
      </c>
      <c r="V23" s="110">
        <v>0</v>
      </c>
      <c r="W23" s="110">
        <v>0</v>
      </c>
      <c r="X23" s="110">
        <v>1083.36</v>
      </c>
      <c r="Y23" s="110">
        <v>2539.68</v>
      </c>
      <c r="Z23" s="110">
        <v>2397.6</v>
      </c>
      <c r="AA23" s="110">
        <v>4937.28</v>
      </c>
      <c r="AB23" s="110">
        <v>4812.96</v>
      </c>
      <c r="AC23" s="110">
        <v>5288.928</v>
      </c>
      <c r="AD23" s="110">
        <v>6038.4</v>
      </c>
      <c r="AE23" s="110">
        <v>5995.776</v>
      </c>
      <c r="AF23" s="110">
        <v>7359.744</v>
      </c>
      <c r="AG23" s="110">
        <v>7594.176</v>
      </c>
      <c r="AH23" s="110">
        <v>7590.624</v>
      </c>
      <c r="AI23" s="110">
        <v>8336.544</v>
      </c>
    </row>
    <row r="24" spans="1:35" ht="12.75">
      <c r="A24" s="108">
        <v>21</v>
      </c>
      <c r="B24" s="109" t="s">
        <v>97</v>
      </c>
      <c r="C24" s="110">
        <v>424.274</v>
      </c>
      <c r="D24" s="110">
        <v>379.452</v>
      </c>
      <c r="E24" s="110">
        <v>403.398</v>
      </c>
      <c r="F24" s="110">
        <v>354.892</v>
      </c>
      <c r="G24" s="110">
        <v>343.226</v>
      </c>
      <c r="H24" s="110">
        <v>366.558</v>
      </c>
      <c r="I24" s="110">
        <v>354.892</v>
      </c>
      <c r="J24" s="110">
        <v>390.504</v>
      </c>
      <c r="K24" s="110">
        <v>363.488</v>
      </c>
      <c r="L24" s="110">
        <v>326.648</v>
      </c>
      <c r="M24" s="110">
        <v>464.798</v>
      </c>
      <c r="N24" s="110">
        <v>378.838</v>
      </c>
      <c r="O24" s="110">
        <v>415.064</v>
      </c>
      <c r="P24" s="110">
        <v>388.048</v>
      </c>
      <c r="Q24" s="110">
        <v>411.994</v>
      </c>
      <c r="R24" s="110">
        <v>485.674</v>
      </c>
      <c r="S24" s="110">
        <v>399.714</v>
      </c>
      <c r="T24" s="110">
        <v>472.166</v>
      </c>
      <c r="U24" s="110">
        <v>399.714</v>
      </c>
      <c r="V24" s="110">
        <v>451.904</v>
      </c>
      <c r="W24" s="110">
        <v>516.374</v>
      </c>
      <c r="X24" s="110">
        <v>375.154</v>
      </c>
      <c r="Y24" s="110">
        <v>431.642</v>
      </c>
      <c r="Z24" s="110">
        <v>395.416</v>
      </c>
      <c r="AA24" s="110">
        <v>407.696</v>
      </c>
      <c r="AB24" s="110">
        <v>500.41</v>
      </c>
      <c r="AC24" s="110">
        <v>379.452</v>
      </c>
      <c r="AD24" s="110">
        <v>491.814</v>
      </c>
      <c r="AE24" s="110">
        <v>418.748</v>
      </c>
      <c r="AF24" s="110">
        <v>536.636</v>
      </c>
      <c r="AG24" s="110">
        <v>507.778</v>
      </c>
      <c r="AH24" s="110">
        <v>423.66</v>
      </c>
      <c r="AI24" s="110">
        <v>531.11</v>
      </c>
    </row>
    <row r="25" spans="1:35" ht="25.5">
      <c r="A25" s="108">
        <v>22</v>
      </c>
      <c r="B25" s="109" t="s">
        <v>98</v>
      </c>
      <c r="C25" s="110">
        <v>1546.0595</v>
      </c>
      <c r="D25" s="110">
        <v>2038.9495</v>
      </c>
      <c r="E25" s="110">
        <v>2019.6985</v>
      </c>
      <c r="F25" s="110">
        <v>1812.6715</v>
      </c>
      <c r="G25" s="110">
        <v>1917.1465</v>
      </c>
      <c r="H25" s="110">
        <v>1538.1915</v>
      </c>
      <c r="I25" s="110">
        <v>1930.997</v>
      </c>
      <c r="J25" s="110">
        <v>1908.2555</v>
      </c>
      <c r="K25" s="110">
        <v>1832.5685</v>
      </c>
      <c r="L25" s="110">
        <v>1726.874</v>
      </c>
      <c r="M25" s="110">
        <v>2011.071</v>
      </c>
      <c r="N25" s="110">
        <v>1808.658</v>
      </c>
      <c r="O25" s="110">
        <v>1914.699</v>
      </c>
      <c r="P25" s="110">
        <v>1706.9475</v>
      </c>
      <c r="Q25" s="110">
        <v>1646.1355</v>
      </c>
      <c r="R25" s="110">
        <v>1730.7465</v>
      </c>
      <c r="S25" s="110">
        <v>1781.037</v>
      </c>
      <c r="T25" s="110">
        <v>1754.807</v>
      </c>
      <c r="U25" s="110">
        <v>1858.208</v>
      </c>
      <c r="V25" s="110">
        <v>1789.037</v>
      </c>
      <c r="W25" s="110">
        <v>1694.8495</v>
      </c>
      <c r="X25" s="110">
        <v>1625.514</v>
      </c>
      <c r="Y25" s="110">
        <v>1802.766</v>
      </c>
      <c r="Z25" s="110">
        <v>1439.909</v>
      </c>
      <c r="AA25" s="110">
        <v>1736.3975</v>
      </c>
      <c r="AB25" s="110">
        <v>1606.9455</v>
      </c>
      <c r="AC25" s="110">
        <v>1593.5735</v>
      </c>
      <c r="AD25" s="110">
        <v>1570.3635</v>
      </c>
      <c r="AE25" s="110">
        <v>1530.52</v>
      </c>
      <c r="AF25" s="110">
        <v>1563.2775</v>
      </c>
      <c r="AG25" s="110">
        <v>1543.565</v>
      </c>
      <c r="AH25" s="110">
        <v>1033.377</v>
      </c>
      <c r="AI25" s="110">
        <v>1182.328</v>
      </c>
    </row>
    <row r="26" spans="1:35" ht="25.5">
      <c r="A26" s="108">
        <v>23</v>
      </c>
      <c r="B26" s="109" t="s">
        <v>99</v>
      </c>
      <c r="C26" s="110">
        <v>163.783</v>
      </c>
      <c r="D26" s="110">
        <v>238.855</v>
      </c>
      <c r="E26" s="110">
        <v>236.9</v>
      </c>
      <c r="F26" s="110">
        <v>193.039</v>
      </c>
      <c r="G26" s="110">
        <v>197.409</v>
      </c>
      <c r="H26" s="110">
        <v>187.3925</v>
      </c>
      <c r="I26" s="110">
        <v>194.3385</v>
      </c>
      <c r="J26" s="110">
        <v>186.484</v>
      </c>
      <c r="K26" s="110">
        <v>187.611</v>
      </c>
      <c r="L26" s="110">
        <v>187.4385</v>
      </c>
      <c r="M26" s="110">
        <v>222.456</v>
      </c>
      <c r="N26" s="110">
        <v>188.577</v>
      </c>
      <c r="O26" s="110">
        <v>220.9265</v>
      </c>
      <c r="P26" s="110">
        <v>211.0825</v>
      </c>
      <c r="Q26" s="110">
        <v>169.5445</v>
      </c>
      <c r="R26" s="110">
        <v>194.419</v>
      </c>
      <c r="S26" s="110">
        <v>216.9475</v>
      </c>
      <c r="T26" s="110">
        <v>201.756</v>
      </c>
      <c r="U26" s="110">
        <v>200.2035</v>
      </c>
      <c r="V26" s="110">
        <v>239.8555</v>
      </c>
      <c r="W26" s="110">
        <v>233.128</v>
      </c>
      <c r="X26" s="110">
        <v>202.6185</v>
      </c>
      <c r="Y26" s="110">
        <v>205.643</v>
      </c>
      <c r="Z26" s="110">
        <v>194.902</v>
      </c>
      <c r="AA26" s="110">
        <v>200.33</v>
      </c>
      <c r="AB26" s="110">
        <v>196.144</v>
      </c>
      <c r="AC26" s="110">
        <v>215.832</v>
      </c>
      <c r="AD26" s="110">
        <v>224.2385</v>
      </c>
      <c r="AE26" s="110">
        <v>183.7585</v>
      </c>
      <c r="AF26" s="110">
        <v>236.325</v>
      </c>
      <c r="AG26" s="110">
        <v>173.7535</v>
      </c>
      <c r="AH26" s="110">
        <v>221.6395</v>
      </c>
      <c r="AI26" s="110">
        <v>198.053</v>
      </c>
    </row>
    <row r="27" spans="1:35" ht="25.5">
      <c r="A27" s="108">
        <v>24</v>
      </c>
      <c r="B27" s="109" t="s">
        <v>100</v>
      </c>
      <c r="C27" s="110">
        <v>251.419</v>
      </c>
      <c r="D27" s="110">
        <v>277.83</v>
      </c>
      <c r="E27" s="110">
        <v>233.583</v>
      </c>
      <c r="F27" s="110">
        <v>228.781</v>
      </c>
      <c r="G27" s="110">
        <v>242.158</v>
      </c>
      <c r="H27" s="110">
        <v>231.182</v>
      </c>
      <c r="I27" s="110">
        <v>221.921</v>
      </c>
      <c r="J27" s="110">
        <v>204.085</v>
      </c>
      <c r="K27" s="110">
        <v>265.139</v>
      </c>
      <c r="L27" s="110">
        <v>213.003</v>
      </c>
      <c r="M27" s="110">
        <v>233.926</v>
      </c>
      <c r="N27" s="110">
        <v>231.525</v>
      </c>
      <c r="O27" s="110">
        <v>201.684</v>
      </c>
      <c r="P27" s="110">
        <v>190.708</v>
      </c>
      <c r="Q27" s="110">
        <v>200.312</v>
      </c>
      <c r="R27" s="110">
        <v>197.225</v>
      </c>
      <c r="S27" s="110">
        <v>213.346</v>
      </c>
      <c r="T27" s="110">
        <v>219.863</v>
      </c>
      <c r="U27" s="110">
        <v>231.182</v>
      </c>
      <c r="V27" s="110">
        <v>240.443</v>
      </c>
      <c r="W27" s="110">
        <v>235.641</v>
      </c>
      <c r="X27" s="110">
        <v>202.37</v>
      </c>
      <c r="Y27" s="110">
        <v>224.665</v>
      </c>
      <c r="Z27" s="110">
        <v>166.012</v>
      </c>
      <c r="AA27" s="110">
        <v>249.704</v>
      </c>
      <c r="AB27" s="110">
        <v>211.288</v>
      </c>
      <c r="AC27" s="110">
        <v>238.385</v>
      </c>
      <c r="AD27" s="110">
        <v>240.786</v>
      </c>
      <c r="AE27" s="110">
        <v>222.607</v>
      </c>
      <c r="AF27" s="110">
        <v>235.984</v>
      </c>
      <c r="AG27" s="110">
        <v>221.921</v>
      </c>
      <c r="AH27" s="110">
        <v>258.279</v>
      </c>
      <c r="AI27" s="110">
        <v>255.878</v>
      </c>
    </row>
    <row r="28" spans="1:35" ht="25.5">
      <c r="A28" s="108">
        <v>25</v>
      </c>
      <c r="B28" s="109" t="s">
        <v>101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110">
        <v>867.5055</v>
      </c>
      <c r="Z28" s="110">
        <v>2021.0235</v>
      </c>
      <c r="AA28" s="110">
        <v>3509.8665</v>
      </c>
      <c r="AB28" s="110">
        <v>4663.5472</v>
      </c>
      <c r="AC28" s="110">
        <v>5132.2132</v>
      </c>
      <c r="AD28" s="110">
        <v>5808.3862</v>
      </c>
      <c r="AE28" s="110">
        <v>5916.3165</v>
      </c>
      <c r="AF28" s="110">
        <v>6564.8745</v>
      </c>
      <c r="AG28" s="110">
        <v>6605.508</v>
      </c>
      <c r="AH28" s="110">
        <v>6443.3685</v>
      </c>
      <c r="AI28" s="110">
        <v>7596.8865</v>
      </c>
    </row>
    <row r="29" spans="1:35" ht="25.5">
      <c r="A29" s="108">
        <v>26</v>
      </c>
      <c r="B29" s="109" t="s">
        <v>102</v>
      </c>
      <c r="C29" s="110">
        <v>16830.8925</v>
      </c>
      <c r="D29" s="110">
        <v>20776.7255</v>
      </c>
      <c r="E29" s="110">
        <v>19380.8495</v>
      </c>
      <c r="F29" s="110">
        <v>18976.333</v>
      </c>
      <c r="G29" s="110">
        <v>19191.3345</v>
      </c>
      <c r="H29" s="110">
        <v>19147.55</v>
      </c>
      <c r="I29" s="110">
        <v>20910.693</v>
      </c>
      <c r="J29" s="110">
        <v>21348.538</v>
      </c>
      <c r="K29" s="110">
        <v>20852.5315</v>
      </c>
      <c r="L29" s="110">
        <v>19933.057</v>
      </c>
      <c r="M29" s="110">
        <v>22679.064</v>
      </c>
      <c r="N29" s="110">
        <v>21685.0905</v>
      </c>
      <c r="O29" s="110">
        <v>22315.0645</v>
      </c>
      <c r="P29" s="110">
        <v>21887.6755</v>
      </c>
      <c r="Q29" s="110">
        <v>20820.51</v>
      </c>
      <c r="R29" s="110">
        <v>22331.402</v>
      </c>
      <c r="S29" s="110">
        <v>21772.006</v>
      </c>
      <c r="T29" s="110">
        <v>21291.03</v>
      </c>
      <c r="U29" s="110">
        <v>22331.402</v>
      </c>
      <c r="V29" s="110">
        <v>22489.549</v>
      </c>
      <c r="W29" s="110">
        <v>21444.6025</v>
      </c>
      <c r="X29" s="110">
        <v>19999.714</v>
      </c>
      <c r="Y29" s="110">
        <v>21638.0385</v>
      </c>
      <c r="Z29" s="110">
        <v>16589.0975</v>
      </c>
      <c r="AA29" s="110">
        <v>16643.9915</v>
      </c>
      <c r="AB29" s="110">
        <v>14633.615</v>
      </c>
      <c r="AC29" s="110">
        <v>11725.385</v>
      </c>
      <c r="AD29" s="110">
        <v>12373.7425</v>
      </c>
      <c r="AE29" s="110">
        <v>10679.506</v>
      </c>
      <c r="AF29" s="110">
        <v>10461.3655</v>
      </c>
      <c r="AG29" s="110">
        <v>9419.09</v>
      </c>
      <c r="AH29" s="110">
        <v>8796.5285</v>
      </c>
      <c r="AI29" s="110">
        <v>9885.37</v>
      </c>
    </row>
    <row r="30" spans="1:35" ht="25.5">
      <c r="A30" s="108">
        <v>27</v>
      </c>
      <c r="B30" s="109" t="s">
        <v>103</v>
      </c>
      <c r="C30" s="110">
        <v>7493.558</v>
      </c>
      <c r="D30" s="110">
        <v>9026.091</v>
      </c>
      <c r="E30" s="110">
        <v>8278.6145</v>
      </c>
      <c r="F30" s="110">
        <v>8170.9595</v>
      </c>
      <c r="G30" s="110">
        <v>8199.61</v>
      </c>
      <c r="H30" s="110">
        <v>8276.772</v>
      </c>
      <c r="I30" s="110">
        <v>8388.9365</v>
      </c>
      <c r="J30" s="110">
        <v>8495.696</v>
      </c>
      <c r="K30" s="110">
        <v>7709.7135</v>
      </c>
      <c r="L30" s="110">
        <v>7030.1035</v>
      </c>
      <c r="M30" s="110">
        <v>8376.379</v>
      </c>
      <c r="N30" s="110">
        <v>7903.91</v>
      </c>
      <c r="O30" s="110">
        <v>8115.3455</v>
      </c>
      <c r="P30" s="110">
        <v>7761.7595</v>
      </c>
      <c r="Q30" s="110">
        <v>7378.5625</v>
      </c>
      <c r="R30" s="110">
        <v>7768.352</v>
      </c>
      <c r="S30" s="110">
        <v>7806.981</v>
      </c>
      <c r="T30" s="110">
        <v>7389.298</v>
      </c>
      <c r="U30" s="110">
        <v>7804.683</v>
      </c>
      <c r="V30" s="110">
        <v>7861.55</v>
      </c>
      <c r="W30" s="110">
        <v>7440.3305</v>
      </c>
      <c r="X30" s="110">
        <v>7201.2135</v>
      </c>
      <c r="Y30" s="110">
        <v>7602.88</v>
      </c>
      <c r="Z30" s="110">
        <v>6726.6305</v>
      </c>
      <c r="AA30" s="110">
        <v>7223.3945</v>
      </c>
      <c r="AB30" s="110">
        <v>7076.153</v>
      </c>
      <c r="AC30" s="110">
        <v>6303.8015</v>
      </c>
      <c r="AD30" s="110">
        <v>6569.7155</v>
      </c>
      <c r="AE30" s="110">
        <v>6302.1855</v>
      </c>
      <c r="AF30" s="110">
        <v>7051.125</v>
      </c>
      <c r="AG30" s="110">
        <v>6336.0775</v>
      </c>
      <c r="AH30" s="110">
        <v>6077.265</v>
      </c>
      <c r="AI30" s="110">
        <v>6818.6925</v>
      </c>
    </row>
    <row r="31" spans="1:35" ht="25.5">
      <c r="A31" s="108">
        <v>28</v>
      </c>
      <c r="B31" s="109" t="s">
        <v>104</v>
      </c>
      <c r="C31" s="110">
        <v>1652.7825</v>
      </c>
      <c r="D31" s="110">
        <v>2030.174</v>
      </c>
      <c r="E31" s="110">
        <v>1857.131</v>
      </c>
      <c r="F31" s="110">
        <v>1743.741</v>
      </c>
      <c r="G31" s="110">
        <v>1837.904</v>
      </c>
      <c r="H31" s="110">
        <v>1831.988</v>
      </c>
      <c r="I31" s="110">
        <v>1823.607</v>
      </c>
      <c r="J31" s="110">
        <v>1917.277</v>
      </c>
      <c r="K31" s="110">
        <v>1712.682</v>
      </c>
      <c r="L31" s="110">
        <v>1661.903</v>
      </c>
      <c r="M31" s="110">
        <v>1930.588</v>
      </c>
      <c r="N31" s="110">
        <v>1708.245</v>
      </c>
      <c r="O31" s="110">
        <v>1834.2065</v>
      </c>
      <c r="P31" s="110">
        <v>1775.0465</v>
      </c>
      <c r="Q31" s="110">
        <v>1632.323</v>
      </c>
      <c r="R31" s="110">
        <v>1720.3235</v>
      </c>
      <c r="S31" s="110">
        <v>1749.657</v>
      </c>
      <c r="T31" s="110">
        <v>1739.797</v>
      </c>
      <c r="U31" s="110">
        <v>1718.8445</v>
      </c>
      <c r="V31" s="110">
        <v>1739.304</v>
      </c>
      <c r="W31" s="110">
        <v>1796.492</v>
      </c>
      <c r="X31" s="110">
        <v>1487.6275</v>
      </c>
      <c r="Y31" s="110">
        <v>1807.831</v>
      </c>
      <c r="Z31" s="110">
        <v>1460.759</v>
      </c>
      <c r="AA31" s="110">
        <v>1637.746</v>
      </c>
      <c r="AB31" s="110">
        <v>1697.892</v>
      </c>
      <c r="AC31" s="110">
        <v>1476.535</v>
      </c>
      <c r="AD31" s="110">
        <v>1648.592</v>
      </c>
      <c r="AE31" s="110">
        <v>1502.4175</v>
      </c>
      <c r="AF31" s="110">
        <v>1669.791</v>
      </c>
      <c r="AG31" s="110">
        <v>1496.5015</v>
      </c>
      <c r="AH31" s="110">
        <v>1453.857</v>
      </c>
      <c r="AI31" s="110">
        <v>1662.1495</v>
      </c>
    </row>
    <row r="32" spans="1:35" ht="12.75">
      <c r="A32" s="108">
        <v>29</v>
      </c>
      <c r="B32" s="109" t="s">
        <v>107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10">
        <v>0</v>
      </c>
      <c r="V32" s="110">
        <v>0</v>
      </c>
      <c r="W32" s="110">
        <v>0</v>
      </c>
      <c r="X32" s="110">
        <v>0</v>
      </c>
      <c r="Y32" s="110">
        <v>0</v>
      </c>
      <c r="Z32" s="110">
        <v>0</v>
      </c>
      <c r="AA32" s="110">
        <v>0</v>
      </c>
      <c r="AB32" s="110">
        <v>0</v>
      </c>
      <c r="AC32" s="110">
        <v>0</v>
      </c>
      <c r="AD32" s="110">
        <v>0</v>
      </c>
      <c r="AE32" s="110">
        <v>0</v>
      </c>
      <c r="AF32" s="110">
        <v>0</v>
      </c>
      <c r="AG32" s="110">
        <v>0</v>
      </c>
      <c r="AH32" s="110">
        <v>0</v>
      </c>
      <c r="AI32" s="110">
        <v>175.245</v>
      </c>
    </row>
    <row r="34" spans="1:35" s="70" customFormat="1" ht="13.5" thickBot="1">
      <c r="A34" s="94" t="s">
        <v>112</v>
      </c>
      <c r="B34" s="94" t="s">
        <v>111</v>
      </c>
      <c r="C34" s="105">
        <v>38108</v>
      </c>
      <c r="D34" s="105">
        <v>38139</v>
      </c>
      <c r="E34" s="105">
        <v>38169</v>
      </c>
      <c r="F34" s="105">
        <v>38200</v>
      </c>
      <c r="G34" s="105">
        <v>38231</v>
      </c>
      <c r="H34" s="105">
        <v>38261</v>
      </c>
      <c r="I34" s="105">
        <v>38292</v>
      </c>
      <c r="J34" s="105">
        <v>38322</v>
      </c>
      <c r="K34" s="105">
        <v>38353</v>
      </c>
      <c r="L34" s="105">
        <v>38384</v>
      </c>
      <c r="M34" s="105">
        <v>38412</v>
      </c>
      <c r="N34" s="105">
        <v>38443</v>
      </c>
      <c r="O34" s="105">
        <v>38473</v>
      </c>
      <c r="P34" s="105">
        <v>38504</v>
      </c>
      <c r="Q34" s="105">
        <v>38534</v>
      </c>
      <c r="R34" s="105">
        <v>38565</v>
      </c>
      <c r="S34" s="105">
        <v>38596</v>
      </c>
      <c r="T34" s="105">
        <v>38626</v>
      </c>
      <c r="U34" s="105">
        <v>38657</v>
      </c>
      <c r="V34" s="105">
        <v>38687</v>
      </c>
      <c r="W34" s="105">
        <v>38718</v>
      </c>
      <c r="X34" s="105">
        <v>38749</v>
      </c>
      <c r="Y34" s="105">
        <v>38777</v>
      </c>
      <c r="Z34" s="105">
        <v>38808</v>
      </c>
      <c r="AA34" s="105">
        <v>38838</v>
      </c>
      <c r="AB34" s="105">
        <v>38869</v>
      </c>
      <c r="AC34" s="105">
        <v>38899</v>
      </c>
      <c r="AD34" s="105">
        <v>38930</v>
      </c>
      <c r="AE34" s="105">
        <v>38961</v>
      </c>
      <c r="AF34" s="105">
        <v>38991</v>
      </c>
      <c r="AG34" s="105">
        <v>39022</v>
      </c>
      <c r="AH34" s="105">
        <v>39052</v>
      </c>
      <c r="AI34" s="105">
        <v>39083</v>
      </c>
    </row>
    <row r="35" spans="1:35" ht="26.25" thickTop="1">
      <c r="A35">
        <v>1</v>
      </c>
      <c r="B35" s="92" t="s">
        <v>77</v>
      </c>
      <c r="C35" s="93">
        <f>VLOOKUP(1,$A$4:$AX$32,3,FALSE)</f>
        <v>0</v>
      </c>
      <c r="D35" s="93">
        <f>VLOOKUP(1,$A$4:$AX$32,4,FALSE)</f>
        <v>0</v>
      </c>
      <c r="E35" s="93">
        <f>VLOOKUP(1,$A$4:$AX$32,5,FALSE)</f>
        <v>0</v>
      </c>
      <c r="F35" s="93">
        <f>VLOOKUP(1,$A$4:$AX$32,6,FALSE)</f>
        <v>0</v>
      </c>
      <c r="G35" s="93">
        <f>VLOOKUP(1,$A$4:$AX$32,7,FALSE)</f>
        <v>0</v>
      </c>
      <c r="H35" s="93">
        <f>VLOOKUP(1,$A$4:$AX$32,8,FALSE)</f>
        <v>0</v>
      </c>
      <c r="I35" s="93">
        <f>VLOOKUP(1,$A$4:$AX$32,9,FALSE)</f>
        <v>0</v>
      </c>
      <c r="J35" s="93">
        <f>VLOOKUP(1,$A$4:$AX$32,10,FALSE)</f>
        <v>0</v>
      </c>
      <c r="K35" s="93">
        <f>VLOOKUP(1,$A$4:$AX$32,11,FALSE)</f>
        <v>0</v>
      </c>
      <c r="L35" s="93">
        <f>VLOOKUP(1,$A$4:$AX$32,12,FALSE)</f>
        <v>0</v>
      </c>
      <c r="M35" s="93">
        <f>VLOOKUP(1,$A$4:$AX$32,13,FALSE)</f>
        <v>0</v>
      </c>
      <c r="N35" s="93">
        <f>VLOOKUP(1,$A$4:$AX$32,14,FALSE)</f>
        <v>0</v>
      </c>
      <c r="O35" s="93">
        <f>VLOOKUP(1,$A$4:$AX$32,15,FALSE)</f>
        <v>0</v>
      </c>
      <c r="P35" s="93">
        <f>VLOOKUP(1,$A$4:$AX$32,16,FALSE)</f>
        <v>0</v>
      </c>
      <c r="Q35" s="93">
        <f>VLOOKUP(1,$A$4:$AX$32,17,FALSE)</f>
        <v>0</v>
      </c>
      <c r="R35" s="93">
        <f>VLOOKUP(1,$A$4:$AX$32,18,FALSE)</f>
        <v>0</v>
      </c>
      <c r="S35" s="93">
        <f>VLOOKUP(1,$A$4:$AX$32,19,FALSE)</f>
        <v>0</v>
      </c>
      <c r="T35" s="93">
        <f>VLOOKUP(1,$A$4:$AX$32,20,FALSE)</f>
        <v>0</v>
      </c>
      <c r="U35" s="93">
        <f>VLOOKUP(1,$A$4:$AX$32,21,FALSE)</f>
        <v>0</v>
      </c>
      <c r="V35" s="93">
        <f>VLOOKUP(1,$A$4:$AX$32,22,FALSE)</f>
        <v>48.852</v>
      </c>
      <c r="W35" s="93">
        <f>VLOOKUP(1,$A$4:$AX$32,23,FALSE)</f>
        <v>60.03</v>
      </c>
      <c r="X35" s="93">
        <f>VLOOKUP(1,$A$4:$AX$32,24,FALSE)</f>
        <v>83.214</v>
      </c>
      <c r="Y35" s="93">
        <f>VLOOKUP(1,$A$4:$AX$32,25,FALSE)</f>
        <v>162.702</v>
      </c>
      <c r="Z35" s="93">
        <f>VLOOKUP(1,$A$4:$AX$32,26,FALSE)</f>
        <v>139.104</v>
      </c>
      <c r="AA35" s="93">
        <f>VLOOKUP(1,$A$4:$AX$32,27,FALSE)</f>
        <v>218.178</v>
      </c>
      <c r="AB35" s="93">
        <f>VLOOKUP(1,$A$4:$AX$32,28,FALSE)</f>
        <v>233.91</v>
      </c>
      <c r="AC35" s="93">
        <f>VLOOKUP(1,$A$4:$AX$32,29,FALSE)</f>
        <v>255.852</v>
      </c>
      <c r="AD35" s="93">
        <f>VLOOKUP(1,$A$4:$AX$32,30,FALSE)</f>
        <v>261.648</v>
      </c>
      <c r="AE35" s="93">
        <f>VLOOKUP(1,$A$4:$AX$32,31,FALSE)</f>
        <v>285.66</v>
      </c>
      <c r="AF35" s="93">
        <f>VLOOKUP(1,$A$4:$AX$32,32,FALSE)</f>
        <v>277.38</v>
      </c>
      <c r="AG35" s="93">
        <f>VLOOKUP(1,$A$4:$AX$32,33,FALSE)</f>
        <v>353.97</v>
      </c>
      <c r="AH35" s="93">
        <f>VLOOKUP(1,$A$4:$AX$32,34,FALSE)</f>
        <v>149.868</v>
      </c>
      <c r="AI35" s="93">
        <f>VLOOKUP(1,$A$4:$AX$32,35,FALSE)</f>
        <v>406.548</v>
      </c>
    </row>
    <row r="36" spans="1:35" ht="25.5">
      <c r="A36">
        <v>2</v>
      </c>
      <c r="B36" s="78" t="s">
        <v>78</v>
      </c>
      <c r="C36" s="93">
        <f>VLOOKUP(2,$A$4:$AX$32,3,FALSE)</f>
        <v>33298.864</v>
      </c>
      <c r="D36" s="93">
        <f>VLOOKUP(2,$A$4:$AX$32,4,FALSE)</f>
        <v>42994.82</v>
      </c>
      <c r="E36" s="93">
        <f>VLOOKUP(2,$A$4:$AX$32,5,FALSE)</f>
        <v>37891.932</v>
      </c>
      <c r="F36" s="93">
        <f>VLOOKUP(2,$A$4:$AX$32,6,FALSE)</f>
        <v>39544.452</v>
      </c>
      <c r="G36" s="93">
        <f>VLOOKUP(2,$A$4:$AX$32,7,FALSE)</f>
        <v>37646.984</v>
      </c>
      <c r="H36" s="93">
        <f>VLOOKUP(2,$A$4:$AX$32,8,FALSE)</f>
        <v>37814.58</v>
      </c>
      <c r="I36" s="93">
        <f>VLOOKUP(2,$A$4:$AX$32,9,FALSE)</f>
        <v>39287.784</v>
      </c>
      <c r="J36" s="93">
        <f>VLOOKUP(2,$A$4:$AX$32,10,FALSE)</f>
        <v>39891.364</v>
      </c>
      <c r="K36" s="93">
        <f>VLOOKUP(2,$A$4:$AX$32,11,FALSE)</f>
        <v>37624.716</v>
      </c>
      <c r="L36" s="93">
        <f>VLOOKUP(2,$A$4:$AX$32,12,FALSE)</f>
        <v>34184.896</v>
      </c>
      <c r="M36" s="93">
        <f>VLOOKUP(2,$A$4:$AX$32,13,FALSE)</f>
        <v>40661.368</v>
      </c>
      <c r="N36" s="93">
        <f>VLOOKUP(2,$A$4:$AX$32,14,FALSE)</f>
        <v>37976.316</v>
      </c>
      <c r="O36" s="93">
        <f>VLOOKUP(2,$A$4:$AX$32,15,FALSE)</f>
        <v>38172.8745</v>
      </c>
      <c r="P36" s="93">
        <f>VLOOKUP(2,$A$4:$AX$32,16,FALSE)</f>
        <v>33805.679</v>
      </c>
      <c r="Q36" s="93">
        <f>VLOOKUP(2,$A$4:$AX$32,17,FALSE)</f>
        <v>32155.1805</v>
      </c>
      <c r="R36" s="93">
        <f>VLOOKUP(2,$A$4:$AX$32,18,FALSE)</f>
        <v>35251.9885</v>
      </c>
      <c r="S36" s="93">
        <f>VLOOKUP(2,$A$4:$AX$32,19,FALSE)</f>
        <v>34175.0205</v>
      </c>
      <c r="T36" s="93">
        <f>VLOOKUP(2,$A$4:$AX$32,20,FALSE)</f>
        <v>33291.8335</v>
      </c>
      <c r="U36" s="93">
        <f>VLOOKUP(2,$A$4:$AX$32,21,FALSE)</f>
        <v>35367.6245</v>
      </c>
      <c r="V36" s="93">
        <f>VLOOKUP(2,$A$4:$AX$32,22,FALSE)</f>
        <v>35849.0465</v>
      </c>
      <c r="W36" s="93">
        <f>VLOOKUP(2,$A$4:$AX$32,23,FALSE)</f>
        <v>34396.8785</v>
      </c>
      <c r="X36" s="93">
        <f>VLOOKUP(2,$A$4:$AX$32,24,FALSE)</f>
        <v>32270.2925</v>
      </c>
      <c r="Y36" s="93">
        <f>VLOOKUP(2,$A$4:$AX$32,25,FALSE)</f>
        <v>36069.416</v>
      </c>
      <c r="Z36" s="93">
        <f>VLOOKUP(2,$A$4:$AX$32,26,FALSE)</f>
        <v>31462.5555</v>
      </c>
      <c r="AA36" s="93">
        <f>VLOOKUP(2,$A$4:$AX$32,27,FALSE)</f>
        <v>35587.366</v>
      </c>
      <c r="AB36" s="93">
        <f>VLOOKUP(2,$A$4:$AX$32,28,FALSE)</f>
        <v>34711.1765</v>
      </c>
      <c r="AC36" s="93">
        <f>VLOOKUP(2,$A$4:$AX$32,29,FALSE)</f>
        <v>33685.3865</v>
      </c>
      <c r="AD36" s="93">
        <f>VLOOKUP(2,$A$4:$AX$32,30,FALSE)</f>
        <v>34455.682</v>
      </c>
      <c r="AE36" s="93">
        <f>VLOOKUP(2,$A$4:$AX$32,31,FALSE)</f>
        <v>33431.904</v>
      </c>
      <c r="AF36" s="93">
        <f>VLOOKUP(2,$A$4:$AX$32,32,FALSE)</f>
        <v>36268.291</v>
      </c>
      <c r="AG36" s="93">
        <f>VLOOKUP(2,$A$4:$AX$32,33,FALSE)</f>
        <v>34144.802</v>
      </c>
      <c r="AH36" s="93">
        <f>VLOOKUP(2,$A$4:$AX$32,34,FALSE)</f>
        <v>33262.8545</v>
      </c>
      <c r="AI36" s="93">
        <f>VLOOKUP(2,$A$4:$AX$32,35,FALSE)</f>
        <v>38027.956</v>
      </c>
    </row>
    <row r="37" spans="1:35" ht="25.5">
      <c r="A37">
        <v>3</v>
      </c>
      <c r="B37" s="78" t="s">
        <v>79</v>
      </c>
      <c r="C37" s="93">
        <f>VLOOKUP(3,$A$4:$AX$32,3,FALSE)</f>
        <v>8803.13</v>
      </c>
      <c r="D37" s="93">
        <f>VLOOKUP(3,$A$4:$AX$32,4,FALSE)</f>
        <v>11715.1405</v>
      </c>
      <c r="E37" s="93">
        <f>VLOOKUP(3,$A$4:$AX$32,5,FALSE)</f>
        <v>10557.953</v>
      </c>
      <c r="F37" s="93">
        <f>VLOOKUP(3,$A$4:$AX$32,6,FALSE)</f>
        <v>10487.211</v>
      </c>
      <c r="G37" s="93">
        <f>VLOOKUP(3,$A$4:$AX$32,7,FALSE)</f>
        <v>11518.808</v>
      </c>
      <c r="H37" s="93">
        <f>VLOOKUP(3,$A$4:$AX$32,8,FALSE)</f>
        <v>10370.3355</v>
      </c>
      <c r="I37" s="93">
        <f>VLOOKUP(3,$A$4:$AX$32,9,FALSE)</f>
        <v>11688.6</v>
      </c>
      <c r="J37" s="93">
        <f>VLOOKUP(3,$A$4:$AX$32,10,FALSE)</f>
        <v>12624.4125</v>
      </c>
      <c r="K37" s="93">
        <f>VLOOKUP(3,$A$4:$AX$32,11,FALSE)</f>
        <v>12141.4125</v>
      </c>
      <c r="L37" s="93">
        <f>VLOOKUP(3,$A$4:$AX$32,12,FALSE)</f>
        <v>11583.95</v>
      </c>
      <c r="M37" s="93">
        <f>VLOOKUP(3,$A$4:$AX$32,13,FALSE)</f>
        <v>13043.0125</v>
      </c>
      <c r="N37" s="93">
        <f>VLOOKUP(3,$A$4:$AX$32,14,FALSE)</f>
        <v>12628.4375</v>
      </c>
      <c r="O37" s="93">
        <f>VLOOKUP(3,$A$4:$AX$32,15,FALSE)</f>
        <v>12942.7375</v>
      </c>
      <c r="P37" s="93">
        <f>VLOOKUP(3,$A$4:$AX$32,16,FALSE)</f>
        <v>12139.7375</v>
      </c>
      <c r="Q37" s="93">
        <f>VLOOKUP(3,$A$4:$AX$32,17,FALSE)</f>
        <v>11286.7625</v>
      </c>
      <c r="R37" s="93">
        <f>VLOOKUP(3,$A$4:$AX$32,18,FALSE)</f>
        <v>11896.0125</v>
      </c>
      <c r="S37" s="93">
        <f>VLOOKUP(3,$A$4:$AX$32,19,FALSE)</f>
        <v>11473.35</v>
      </c>
      <c r="T37" s="93">
        <f>VLOOKUP(3,$A$4:$AX$32,20,FALSE)</f>
        <v>11675.2875</v>
      </c>
      <c r="U37" s="93">
        <f>VLOOKUP(3,$A$4:$AX$32,21,FALSE)</f>
        <v>12581.2125</v>
      </c>
      <c r="V37" s="93">
        <f>VLOOKUP(3,$A$4:$AX$32,22,FALSE)</f>
        <v>13165.4875</v>
      </c>
      <c r="W37" s="93">
        <f>VLOOKUP(3,$A$4:$AX$32,23,FALSE)</f>
        <v>12156.3375</v>
      </c>
      <c r="X37" s="93">
        <f>VLOOKUP(3,$A$4:$AX$32,24,FALSE)</f>
        <v>11079.5125</v>
      </c>
      <c r="Y37" s="93">
        <f>VLOOKUP(3,$A$4:$AX$32,25,FALSE)</f>
        <v>11905.3375</v>
      </c>
      <c r="Z37" s="93">
        <f>VLOOKUP(3,$A$4:$AX$32,26,FALSE)</f>
        <v>10844.6375</v>
      </c>
      <c r="AA37" s="93">
        <f>VLOOKUP(3,$A$4:$AX$32,27,FALSE)</f>
        <v>12422.55</v>
      </c>
      <c r="AB37" s="93">
        <f>VLOOKUP(3,$A$4:$AX$32,28,FALSE)</f>
        <v>11583.8375</v>
      </c>
      <c r="AC37" s="93">
        <f>VLOOKUP(3,$A$4:$AX$32,29,FALSE)</f>
        <v>11009.8</v>
      </c>
      <c r="AD37" s="93">
        <f>VLOOKUP(3,$A$4:$AX$32,30,FALSE)</f>
        <v>11633.05</v>
      </c>
      <c r="AE37" s="93">
        <f>VLOOKUP(3,$A$4:$AX$32,31,FALSE)</f>
        <v>11043.0375</v>
      </c>
      <c r="AF37" s="93">
        <f>VLOOKUP(3,$A$4:$AX$32,32,FALSE)</f>
        <v>12401.325</v>
      </c>
      <c r="AG37" s="93">
        <f>VLOOKUP(3,$A$4:$AX$32,33,FALSE)</f>
        <v>11472.175</v>
      </c>
      <c r="AH37" s="93">
        <f>VLOOKUP(3,$A$4:$AX$32,34,FALSE)</f>
        <v>10978.7625</v>
      </c>
      <c r="AI37" s="93">
        <f>VLOOKUP(3,$A$4:$AX$32,35,FALSE)</f>
        <v>11687.425</v>
      </c>
    </row>
    <row r="38" spans="1:35" ht="25.5">
      <c r="A38">
        <v>4</v>
      </c>
      <c r="B38" s="78" t="s">
        <v>80</v>
      </c>
      <c r="C38" s="93">
        <f>VLOOKUP(4,$A$4:$AX$32,3,FALSE)</f>
        <v>0</v>
      </c>
      <c r="D38" s="93">
        <f>VLOOKUP(4,$A$4:$AX$32,4,FALSE)</f>
        <v>0</v>
      </c>
      <c r="E38" s="93">
        <f>VLOOKUP(4,$A$4:$AX$32,5,FALSE)</f>
        <v>0</v>
      </c>
      <c r="F38" s="93">
        <f>VLOOKUP(4,$A$4:$AX$32,6,FALSE)</f>
        <v>0</v>
      </c>
      <c r="G38" s="93">
        <f>VLOOKUP(4,$A$4:$AX$32,7,FALSE)</f>
        <v>0</v>
      </c>
      <c r="H38" s="93">
        <f>VLOOKUP(4,$A$4:$AX$32,8,FALSE)</f>
        <v>0</v>
      </c>
      <c r="I38" s="93">
        <f>VLOOKUP(4,$A$4:$AX$32,9,FALSE)</f>
        <v>0</v>
      </c>
      <c r="J38" s="93">
        <f>VLOOKUP(4,$A$4:$AX$32,10,FALSE)</f>
        <v>0</v>
      </c>
      <c r="K38" s="93">
        <f>VLOOKUP(4,$A$4:$AX$32,11,FALSE)</f>
        <v>0</v>
      </c>
      <c r="L38" s="93">
        <f>VLOOKUP(4,$A$4:$AX$32,12,FALSE)</f>
        <v>0</v>
      </c>
      <c r="M38" s="93">
        <f>VLOOKUP(4,$A$4:$AX$32,13,FALSE)</f>
        <v>0</v>
      </c>
      <c r="N38" s="93">
        <f>VLOOKUP(4,$A$4:$AX$32,14,FALSE)</f>
        <v>0</v>
      </c>
      <c r="O38" s="93">
        <f>VLOOKUP(4,$A$4:$AX$32,15,FALSE)</f>
        <v>0</v>
      </c>
      <c r="P38" s="93">
        <f>VLOOKUP(4,$A$4:$AX$32,16,FALSE)</f>
        <v>0</v>
      </c>
      <c r="Q38" s="93">
        <f>VLOOKUP(4,$A$4:$AX$32,17,FALSE)</f>
        <v>0</v>
      </c>
      <c r="R38" s="93">
        <f>VLOOKUP(4,$A$4:$AX$32,18,FALSE)</f>
        <v>0</v>
      </c>
      <c r="S38" s="93">
        <f>VLOOKUP(4,$A$4:$AX$32,19,FALSE)</f>
        <v>0</v>
      </c>
      <c r="T38" s="93">
        <f>VLOOKUP(4,$A$4:$AX$32,20,FALSE)</f>
        <v>0</v>
      </c>
      <c r="U38" s="93">
        <f>VLOOKUP(4,$A$4:$AX$32,21,FALSE)</f>
        <v>0</v>
      </c>
      <c r="V38" s="93">
        <f>VLOOKUP(4,$A$4:$AX$32,22,FALSE)</f>
        <v>0</v>
      </c>
      <c r="W38" s="93">
        <f>VLOOKUP(4,$A$4:$AX$32,23,FALSE)</f>
        <v>0</v>
      </c>
      <c r="X38" s="93">
        <f>VLOOKUP(4,$A$4:$AX$32,24,FALSE)</f>
        <v>0</v>
      </c>
      <c r="Y38" s="93">
        <f>VLOOKUP(4,$A$4:$AX$32,25,FALSE)</f>
        <v>0</v>
      </c>
      <c r="Z38" s="93">
        <f>VLOOKUP(4,$A$4:$AX$32,26,FALSE)</f>
        <v>0</v>
      </c>
      <c r="AA38" s="93">
        <f>VLOOKUP(4,$A$4:$AX$32,27,FALSE)</f>
        <v>0</v>
      </c>
      <c r="AB38" s="93">
        <f>VLOOKUP(4,$A$4:$AX$32,28,FALSE)</f>
        <v>0</v>
      </c>
      <c r="AC38" s="93">
        <f>VLOOKUP(4,$A$4:$AX$32,29,FALSE)</f>
        <v>0</v>
      </c>
      <c r="AD38" s="93">
        <f>VLOOKUP(4,$A$4:$AX$32,30,FALSE)</f>
        <v>0</v>
      </c>
      <c r="AE38" s="93">
        <f>VLOOKUP(4,$A$4:$AX$32,31,FALSE)</f>
        <v>49.631</v>
      </c>
      <c r="AF38" s="93">
        <f>VLOOKUP(4,$A$4:$AX$32,32,FALSE)</f>
        <v>51.9125</v>
      </c>
      <c r="AG38" s="93">
        <f>VLOOKUP(4,$A$4:$AX$32,33,FALSE)</f>
        <v>136.949</v>
      </c>
      <c r="AH38" s="93">
        <f>VLOOKUP(4,$A$4:$AX$32,34,FALSE)</f>
        <v>130.8525</v>
      </c>
      <c r="AI38" s="93">
        <f>VLOOKUP(4,$A$4:$AX$32,35,FALSE)</f>
        <v>232.757</v>
      </c>
    </row>
    <row r="39" spans="1:35" ht="25.5">
      <c r="A39">
        <v>5</v>
      </c>
      <c r="B39" s="78" t="s">
        <v>81</v>
      </c>
      <c r="C39" s="93">
        <f>VLOOKUP(5,$A$4:$AX$32,3,FALSE)</f>
        <v>54587.199</v>
      </c>
      <c r="D39" s="93">
        <f>VLOOKUP(5,$A$4:$AX$32,4,FALSE)</f>
        <v>66837.8805</v>
      </c>
      <c r="E39" s="93">
        <f>VLOOKUP(5,$A$4:$AX$32,5,FALSE)</f>
        <v>61208.1105</v>
      </c>
      <c r="F39" s="93">
        <f>VLOOKUP(5,$A$4:$AX$32,6,FALSE)</f>
        <v>62819.3895</v>
      </c>
      <c r="G39" s="93">
        <f>VLOOKUP(5,$A$4:$AX$32,7,FALSE)</f>
        <v>62612.3175</v>
      </c>
      <c r="H39" s="93">
        <f>VLOOKUP(5,$A$4:$AX$32,8,FALSE)</f>
        <v>63321.9705</v>
      </c>
      <c r="I39" s="93">
        <f>VLOOKUP(5,$A$4:$AX$32,9,FALSE)</f>
        <v>64306.641</v>
      </c>
      <c r="J39" s="93">
        <f>VLOOKUP(5,$A$4:$AX$32,10,FALSE)</f>
        <v>65618.097</v>
      </c>
      <c r="K39" s="93">
        <f>VLOOKUP(5,$A$4:$AX$32,11,FALSE)</f>
        <v>65753.988</v>
      </c>
      <c r="L39" s="93">
        <f>VLOOKUP(5,$A$4:$AX$32,12,FALSE)</f>
        <v>58235.7645</v>
      </c>
      <c r="M39" s="93">
        <f>VLOOKUP(5,$A$4:$AX$32,13,FALSE)</f>
        <v>71284.536</v>
      </c>
      <c r="N39" s="93">
        <f>VLOOKUP(5,$A$4:$AX$32,14,FALSE)</f>
        <v>65926.548</v>
      </c>
      <c r="O39" s="93">
        <f>VLOOKUP(5,$A$4:$AX$32,15,FALSE)</f>
        <v>68196.7905</v>
      </c>
      <c r="P39" s="93">
        <f>VLOOKUP(5,$A$4:$AX$32,16,FALSE)</f>
        <v>65128.458</v>
      </c>
      <c r="Q39" s="93">
        <f>VLOOKUP(5,$A$4:$AX$32,17,FALSE)</f>
        <v>61414.104</v>
      </c>
      <c r="R39" s="93">
        <f>VLOOKUP(5,$A$4:$AX$32,18,FALSE)</f>
        <v>65024.922</v>
      </c>
      <c r="S39" s="93">
        <f>VLOOKUP(5,$A$4:$AX$32,19,FALSE)</f>
        <v>64253.7945</v>
      </c>
      <c r="T39" s="93">
        <f>VLOOKUP(5,$A$4:$AX$32,20,FALSE)</f>
        <v>61334.295</v>
      </c>
      <c r="U39" s="93">
        <f>VLOOKUP(5,$A$4:$AX$32,21,FALSE)</f>
        <v>63891.4185</v>
      </c>
      <c r="V39" s="93">
        <f>VLOOKUP(5,$A$4:$AX$32,22,FALSE)</f>
        <v>65027.079</v>
      </c>
      <c r="W39" s="93">
        <f>VLOOKUP(5,$A$4:$AX$32,23,FALSE)</f>
        <v>62412.795</v>
      </c>
      <c r="X39" s="93">
        <f>VLOOKUP(5,$A$4:$AX$32,24,FALSE)</f>
        <v>59728.4085</v>
      </c>
      <c r="Y39" s="93">
        <f>VLOOKUP(5,$A$4:$AX$32,25,FALSE)</f>
        <v>64818.9285</v>
      </c>
      <c r="Z39" s="93">
        <f>VLOOKUP(5,$A$4:$AX$32,26,FALSE)</f>
        <v>56642.82</v>
      </c>
      <c r="AA39" s="93">
        <f>VLOOKUP(5,$A$4:$AX$32,27,FALSE)</f>
        <v>63585.1245</v>
      </c>
      <c r="AB39" s="93">
        <f>VLOOKUP(5,$A$4:$AX$32,28,FALSE)</f>
        <v>61761.381</v>
      </c>
      <c r="AC39" s="93">
        <f>VLOOKUP(5,$A$4:$AX$32,29,FALSE)</f>
        <v>54391.828</v>
      </c>
      <c r="AD39" s="93">
        <f>VLOOKUP(5,$A$4:$AX$32,30,FALSE)</f>
        <v>53605.086</v>
      </c>
      <c r="AE39" s="93">
        <f>VLOOKUP(5,$A$4:$AX$32,31,FALSE)</f>
        <v>48200.5497</v>
      </c>
      <c r="AF39" s="93">
        <f>VLOOKUP(5,$A$4:$AX$32,32,FALSE)</f>
        <v>51274.6658</v>
      </c>
      <c r="AG39" s="93">
        <f>VLOOKUP(5,$A$4:$AX$32,33,FALSE)</f>
        <v>47824.8328</v>
      </c>
      <c r="AH39" s="93">
        <f>VLOOKUP(5,$A$4:$AX$32,34,FALSE)</f>
        <v>44633.9292</v>
      </c>
      <c r="AI39" s="93">
        <f>VLOOKUP(5,$A$4:$AX$32,35,FALSE)</f>
        <v>50690.5486</v>
      </c>
    </row>
    <row r="40" spans="1:35" ht="25.5">
      <c r="A40">
        <v>6</v>
      </c>
      <c r="B40" s="78" t="s">
        <v>82</v>
      </c>
      <c r="C40" s="93">
        <f>VLOOKUP(6,$A$4:$AX$32,3,FALSE)</f>
        <v>38852.088</v>
      </c>
      <c r="D40" s="93">
        <f>VLOOKUP(6,$A$4:$AX$32,4,FALSE)</f>
        <v>47915.153</v>
      </c>
      <c r="E40" s="93">
        <f>VLOOKUP(6,$A$4:$AX$32,5,FALSE)</f>
        <v>45624.1555</v>
      </c>
      <c r="F40" s="93">
        <f>VLOOKUP(6,$A$4:$AX$32,6,FALSE)</f>
        <v>45323.399</v>
      </c>
      <c r="G40" s="93">
        <f>VLOOKUP(6,$A$4:$AX$32,7,FALSE)</f>
        <v>46021.8</v>
      </c>
      <c r="H40" s="93">
        <f>VLOOKUP(6,$A$4:$AX$32,8,FALSE)</f>
        <v>46362.9265</v>
      </c>
      <c r="I40" s="93">
        <f>VLOOKUP(6,$A$4:$AX$32,9,FALSE)</f>
        <v>49071.7535</v>
      </c>
      <c r="J40" s="93">
        <f>VLOOKUP(6,$A$4:$AX$32,10,FALSE)</f>
        <v>50492.7775</v>
      </c>
      <c r="K40" s="93">
        <f>VLOOKUP(6,$A$4:$AX$32,11,FALSE)</f>
        <v>48823.478</v>
      </c>
      <c r="L40" s="93">
        <f>VLOOKUP(6,$A$4:$AX$32,12,FALSE)</f>
        <v>44374.704</v>
      </c>
      <c r="M40" s="93">
        <f>VLOOKUP(6,$A$4:$AX$32,13,FALSE)</f>
        <v>53690.0815</v>
      </c>
      <c r="N40" s="93">
        <f>VLOOKUP(6,$A$4:$AX$32,14,FALSE)</f>
        <v>51304.2145</v>
      </c>
      <c r="O40" s="93">
        <f>VLOOKUP(6,$A$4:$AX$32,15,FALSE)</f>
        <v>53817.247</v>
      </c>
      <c r="P40" s="93">
        <f>VLOOKUP(6,$A$4:$AX$32,16,FALSE)</f>
        <v>53143.068</v>
      </c>
      <c r="Q40" s="93">
        <f>VLOOKUP(6,$A$4:$AX$32,17,FALSE)</f>
        <v>49138.364</v>
      </c>
      <c r="R40" s="93">
        <f>VLOOKUP(6,$A$4:$AX$32,18,FALSE)</f>
        <v>54584.277</v>
      </c>
      <c r="S40" s="93">
        <f>VLOOKUP(6,$A$4:$AX$32,19,FALSE)</f>
        <v>52567.7955</v>
      </c>
      <c r="T40" s="93">
        <f>VLOOKUP(6,$A$4:$AX$32,20,FALSE)</f>
        <v>50799.5895</v>
      </c>
      <c r="U40" s="93">
        <f>VLOOKUP(6,$A$4:$AX$32,21,FALSE)</f>
        <v>52460.815</v>
      </c>
      <c r="V40" s="93">
        <f>VLOOKUP(6,$A$4:$AX$32,22,FALSE)</f>
        <v>52836.256</v>
      </c>
      <c r="W40" s="93">
        <f>VLOOKUP(6,$A$4:$AX$32,23,FALSE)</f>
        <v>51770.488</v>
      </c>
      <c r="X40" s="93">
        <f>VLOOKUP(6,$A$4:$AX$32,24,FALSE)</f>
        <v>47925.2455</v>
      </c>
      <c r="Y40" s="93">
        <f>VLOOKUP(6,$A$4:$AX$32,25,FALSE)</f>
        <v>52836.256</v>
      </c>
      <c r="Z40" s="93">
        <f>VLOOKUP(6,$A$4:$AX$32,26,FALSE)</f>
        <v>46994.717</v>
      </c>
      <c r="AA40" s="93">
        <f>VLOOKUP(6,$A$4:$AX$32,27,FALSE)</f>
        <v>53502.361</v>
      </c>
      <c r="AB40" s="93">
        <f>VLOOKUP(6,$A$4:$AX$32,28,FALSE)</f>
        <v>52755.516</v>
      </c>
      <c r="AC40" s="93">
        <f>VLOOKUP(6,$A$4:$AX$32,29,FALSE)</f>
        <v>45836.8295</v>
      </c>
      <c r="AD40" s="93">
        <f>VLOOKUP(6,$A$4:$AX$32,30,FALSE)</f>
        <v>46236.6765</v>
      </c>
      <c r="AE40" s="93">
        <f>VLOOKUP(6,$A$4:$AX$32,31,FALSE)</f>
        <v>40688.516</v>
      </c>
      <c r="AF40" s="93">
        <f>VLOOKUP(6,$A$4:$AX$32,32,FALSE)</f>
        <v>41957.8495</v>
      </c>
      <c r="AG40" s="93">
        <f>VLOOKUP(6,$A$4:$AX$32,33,FALSE)</f>
        <v>38379.1002</v>
      </c>
      <c r="AH40" s="93">
        <f>VLOOKUP(6,$A$4:$AX$32,34,FALSE)</f>
        <v>36215.9777</v>
      </c>
      <c r="AI40" s="93">
        <f>VLOOKUP(6,$A$4:$AX$32,35,FALSE)</f>
        <v>43305.1392</v>
      </c>
    </row>
    <row r="41" spans="1:35" ht="12.75">
      <c r="A41">
        <v>7</v>
      </c>
      <c r="B41" s="78" t="s">
        <v>83</v>
      </c>
      <c r="C41" s="93">
        <f>VLOOKUP(7,$A$4:$AX$32,3,FALSE)</f>
        <v>0</v>
      </c>
      <c r="D41" s="93">
        <f>VLOOKUP(7,$A$4:$AX$32,4,FALSE)</f>
        <v>0</v>
      </c>
      <c r="E41" s="93">
        <f>VLOOKUP(7,$A$4:$AX$32,5,FALSE)</f>
        <v>0</v>
      </c>
      <c r="F41" s="93">
        <f>VLOOKUP(7,$A$4:$AX$32,6,FALSE)</f>
        <v>0</v>
      </c>
      <c r="G41" s="93">
        <f>VLOOKUP(7,$A$4:$AX$32,7,FALSE)</f>
        <v>0</v>
      </c>
      <c r="H41" s="93">
        <f>VLOOKUP(7,$A$4:$AX$32,8,FALSE)</f>
        <v>0</v>
      </c>
      <c r="I41" s="93">
        <f>VLOOKUP(7,$A$4:$AX$32,9,FALSE)</f>
        <v>0</v>
      </c>
      <c r="J41" s="93">
        <f>VLOOKUP(7,$A$4:$AX$32,10,FALSE)</f>
        <v>0</v>
      </c>
      <c r="K41" s="93">
        <f>VLOOKUP(7,$A$4:$AX$32,11,FALSE)</f>
        <v>0</v>
      </c>
      <c r="L41" s="93">
        <f>VLOOKUP(7,$A$4:$AX$32,12,FALSE)</f>
        <v>0</v>
      </c>
      <c r="M41" s="93">
        <f>VLOOKUP(7,$A$4:$AX$32,13,FALSE)</f>
        <v>0</v>
      </c>
      <c r="N41" s="93">
        <f>VLOOKUP(7,$A$4:$AX$32,14,FALSE)</f>
        <v>0</v>
      </c>
      <c r="O41" s="93">
        <f>VLOOKUP(7,$A$4:$AX$32,15,FALSE)</f>
        <v>0</v>
      </c>
      <c r="P41" s="93">
        <f>VLOOKUP(7,$A$4:$AX$32,16,FALSE)</f>
        <v>0</v>
      </c>
      <c r="Q41" s="93">
        <f>VLOOKUP(7,$A$4:$AX$32,17,FALSE)</f>
        <v>0</v>
      </c>
      <c r="R41" s="93">
        <f>VLOOKUP(7,$A$4:$AX$32,18,FALSE)</f>
        <v>0</v>
      </c>
      <c r="S41" s="93">
        <f>VLOOKUP(7,$A$4:$AX$32,19,FALSE)</f>
        <v>0</v>
      </c>
      <c r="T41" s="93">
        <f>VLOOKUP(7,$A$4:$AX$32,20,FALSE)</f>
        <v>0</v>
      </c>
      <c r="U41" s="93">
        <f>VLOOKUP(7,$A$4:$AX$32,21,FALSE)</f>
        <v>0</v>
      </c>
      <c r="V41" s="93">
        <f>VLOOKUP(7,$A$4:$AX$32,22,FALSE)</f>
        <v>0</v>
      </c>
      <c r="W41" s="93">
        <f>VLOOKUP(7,$A$4:$AX$32,23,FALSE)</f>
        <v>0</v>
      </c>
      <c r="X41" s="93">
        <f>VLOOKUP(7,$A$4:$AX$32,24,FALSE)</f>
        <v>0</v>
      </c>
      <c r="Y41" s="93">
        <f>VLOOKUP(7,$A$4:$AX$32,25,FALSE)</f>
        <v>0</v>
      </c>
      <c r="Z41" s="93">
        <f>VLOOKUP(7,$A$4:$AX$32,26,FALSE)</f>
        <v>0</v>
      </c>
      <c r="AA41" s="93">
        <f>VLOOKUP(7,$A$4:$AX$32,27,FALSE)</f>
        <v>0</v>
      </c>
      <c r="AB41" s="93">
        <f>VLOOKUP(7,$A$4:$AX$32,28,FALSE)</f>
        <v>416.432</v>
      </c>
      <c r="AC41" s="93">
        <f>VLOOKUP(7,$A$4:$AX$32,29,FALSE)</f>
        <v>650.675</v>
      </c>
      <c r="AD41" s="93">
        <f>VLOOKUP(7,$A$4:$AX$32,30,FALSE)</f>
        <v>1005.867</v>
      </c>
      <c r="AE41" s="93">
        <f>VLOOKUP(7,$A$4:$AX$32,31,FALSE)</f>
        <v>1319.722</v>
      </c>
      <c r="AF41" s="93">
        <f>VLOOKUP(7,$A$4:$AX$32,32,FALSE)</f>
        <v>2591.983</v>
      </c>
      <c r="AG41" s="93">
        <f>VLOOKUP(7,$A$4:$AX$32,33,FALSE)</f>
        <v>3044.5667</v>
      </c>
      <c r="AH41" s="93">
        <f>VLOOKUP(7,$A$4:$AX$32,34,FALSE)</f>
        <v>3780.3223</v>
      </c>
      <c r="AI41" s="93">
        <f>VLOOKUP(7,$A$4:$AX$32,35,FALSE)</f>
        <v>4539.472</v>
      </c>
    </row>
    <row r="42" spans="1:35" ht="25.5">
      <c r="A42">
        <v>8</v>
      </c>
      <c r="B42" s="78" t="s">
        <v>84</v>
      </c>
      <c r="C42" s="93">
        <f>VLOOKUP(8,$A$4:$AX$32,3,FALSE)</f>
        <v>2168.605</v>
      </c>
      <c r="D42" s="93">
        <f>VLOOKUP(8,$A$4:$AX$32,4,FALSE)</f>
        <v>2671.458</v>
      </c>
      <c r="E42" s="93">
        <f>VLOOKUP(8,$A$4:$AX$32,5,FALSE)</f>
        <v>2420.443</v>
      </c>
      <c r="F42" s="93">
        <f>VLOOKUP(8,$A$4:$AX$32,6,FALSE)</f>
        <v>2594.919</v>
      </c>
      <c r="G42" s="93">
        <f>VLOOKUP(8,$A$4:$AX$32,7,FALSE)</f>
        <v>2363.656</v>
      </c>
      <c r="H42" s="93">
        <f>VLOOKUP(8,$A$4:$AX$32,8,FALSE)</f>
        <v>2382.585</v>
      </c>
      <c r="I42" s="93">
        <f>VLOOKUP(8,$A$4:$AX$32,9,FALSE)</f>
        <v>2473.938</v>
      </c>
      <c r="J42" s="93">
        <f>VLOOKUP(8,$A$4:$AX$32,10,FALSE)</f>
        <v>2613.025</v>
      </c>
      <c r="K42" s="93">
        <f>VLOOKUP(8,$A$4:$AX$32,11,FALSE)</f>
        <v>2273.126</v>
      </c>
      <c r="L42" s="93">
        <f>VLOOKUP(8,$A$4:$AX$32,12,FALSE)</f>
        <v>2436.903</v>
      </c>
      <c r="M42" s="93">
        <f>VLOOKUP(8,$A$4:$AX$32,13,FALSE)</f>
        <v>2616.317</v>
      </c>
      <c r="N42" s="93">
        <f>VLOOKUP(8,$A$4:$AX$32,14,FALSE)</f>
        <v>2247.613</v>
      </c>
      <c r="O42" s="93">
        <f>VLOOKUP(8,$A$4:$AX$32,15,FALSE)</f>
        <v>2556.238</v>
      </c>
      <c r="P42" s="93">
        <f>VLOOKUP(8,$A$4:$AX$32,16,FALSE)</f>
        <v>2581.751</v>
      </c>
      <c r="Q42" s="93">
        <f>VLOOKUP(8,$A$4:$AX$32,17,FALSE)</f>
        <v>2268.188</v>
      </c>
      <c r="R42" s="93">
        <f>VLOOKUP(8,$A$4:$AX$32,18,FALSE)</f>
        <v>2458.301</v>
      </c>
      <c r="S42" s="93">
        <f>VLOOKUP(8,$A$4:$AX$32,19,FALSE)</f>
        <v>2527.433</v>
      </c>
      <c r="T42" s="93">
        <f>VLOOKUP(8,$A$4:$AX$32,20,FALSE)</f>
        <v>2468.177</v>
      </c>
      <c r="U42" s="93">
        <f>VLOOKUP(8,$A$4:$AX$32,21,FALSE)</f>
        <v>2617.963</v>
      </c>
      <c r="V42" s="93">
        <f>VLOOKUP(8,$A$4:$AX$32,22,FALSE)</f>
        <v>2904.367</v>
      </c>
      <c r="W42" s="93">
        <f>VLOOKUP(8,$A$4:$AX$32,23,FALSE)</f>
        <v>2911.774</v>
      </c>
      <c r="X42" s="93">
        <f>VLOOKUP(8,$A$4:$AX$32,24,FALSE)</f>
        <v>2578.459</v>
      </c>
      <c r="Y42" s="93">
        <f>VLOOKUP(8,$A$4:$AX$32,25,FALSE)</f>
        <v>2927.411</v>
      </c>
      <c r="Z42" s="93">
        <f>VLOOKUP(8,$A$4:$AX$32,26,FALSE)</f>
        <v>2392.461</v>
      </c>
      <c r="AA42" s="93">
        <f>VLOOKUP(8,$A$4:$AX$32,27,FALSE)</f>
        <v>2948.809</v>
      </c>
      <c r="AB42" s="93">
        <f>VLOOKUP(8,$A$4:$AX$32,28,FALSE)</f>
        <v>2715.077</v>
      </c>
      <c r="AC42" s="93">
        <f>VLOOKUP(8,$A$4:$AX$32,29,FALSE)</f>
        <v>2612.202</v>
      </c>
      <c r="AD42" s="93">
        <f>VLOOKUP(8,$A$4:$AX$32,30,FALSE)</f>
        <v>2673.927</v>
      </c>
      <c r="AE42" s="93">
        <f>VLOOKUP(8,$A$4:$AX$32,31,FALSE)</f>
        <v>2546.14</v>
      </c>
      <c r="AF42" s="93">
        <f>VLOOKUP(8,$A$4:$AX$32,32,FALSE)</f>
        <v>2784.335</v>
      </c>
      <c r="AG42" s="93">
        <f>VLOOKUP(8,$A$4:$AX$32,33,FALSE)</f>
        <v>2591.926</v>
      </c>
      <c r="AH42" s="93">
        <f>VLOOKUP(8,$A$4:$AX$32,34,FALSE)</f>
        <v>2413.946</v>
      </c>
      <c r="AI42" s="93">
        <f>VLOOKUP(8,$A$4:$AX$32,35,FALSE)</f>
        <v>2774.0758</v>
      </c>
    </row>
    <row r="43" spans="1:35" ht="25.5">
      <c r="A43">
        <v>9</v>
      </c>
      <c r="B43" s="78" t="s">
        <v>85</v>
      </c>
      <c r="C43" s="93">
        <f>VLOOKUP(9,$A$4:$AX$32,3,FALSE)</f>
        <v>6791.82</v>
      </c>
      <c r="D43" s="93">
        <f>VLOOKUP(9,$A$4:$AX$32,4,FALSE)</f>
        <v>8022.567</v>
      </c>
      <c r="E43" s="93">
        <f>VLOOKUP(9,$A$4:$AX$32,5,FALSE)</f>
        <v>7278.495</v>
      </c>
      <c r="F43" s="93">
        <f>VLOOKUP(9,$A$4:$AX$32,6,FALSE)</f>
        <v>7175.7525</v>
      </c>
      <c r="G43" s="93">
        <f>VLOOKUP(9,$A$4:$AX$32,7,FALSE)</f>
        <v>7260.1095</v>
      </c>
      <c r="H43" s="93">
        <f>VLOOKUP(9,$A$4:$AX$32,8,FALSE)</f>
        <v>7381.2375</v>
      </c>
      <c r="I43" s="93">
        <f>VLOOKUP(9,$A$4:$AX$32,9,FALSE)</f>
        <v>7969.5735</v>
      </c>
      <c r="J43" s="93">
        <f>VLOOKUP(9,$A$4:$AX$32,10,FALSE)</f>
        <v>8468.145</v>
      </c>
      <c r="K43" s="93">
        <f>VLOOKUP(9,$A$4:$AX$32,11,FALSE)</f>
        <v>8096.109</v>
      </c>
      <c r="L43" s="93">
        <f>VLOOKUP(9,$A$4:$AX$32,12,FALSE)</f>
        <v>7534.8105</v>
      </c>
      <c r="M43" s="93">
        <f>VLOOKUP(9,$A$4:$AX$32,13,FALSE)</f>
        <v>9006.732</v>
      </c>
      <c r="N43" s="93">
        <f>VLOOKUP(9,$A$4:$AX$32,14,FALSE)</f>
        <v>8599.0065</v>
      </c>
      <c r="O43" s="93">
        <f>VLOOKUP(9,$A$4:$AX$32,15,FALSE)</f>
        <v>9237.0915</v>
      </c>
      <c r="P43" s="93">
        <f>VLOOKUP(9,$A$4:$AX$32,16,FALSE)</f>
        <v>8285.3715</v>
      </c>
      <c r="Q43" s="93">
        <f>VLOOKUP(9,$A$4:$AX$32,17,FALSE)</f>
        <v>7875.483</v>
      </c>
      <c r="R43" s="93">
        <f>VLOOKUP(9,$A$4:$AX$32,18,FALSE)</f>
        <v>8949.4125</v>
      </c>
      <c r="S43" s="93">
        <f>VLOOKUP(9,$A$4:$AX$32,19,FALSE)</f>
        <v>7813.8375</v>
      </c>
      <c r="T43" s="93">
        <f>VLOOKUP(9,$A$4:$AX$32,20,FALSE)</f>
        <v>7929.558</v>
      </c>
      <c r="U43" s="93">
        <f>VLOOKUP(9,$A$4:$AX$32,21,FALSE)</f>
        <v>8047.4415</v>
      </c>
      <c r="V43" s="93">
        <f>VLOOKUP(9,$A$4:$AX$32,22,FALSE)</f>
        <v>7499.121</v>
      </c>
      <c r="W43" s="93">
        <f>VLOOKUP(9,$A$4:$AX$32,23,FALSE)</f>
        <v>7707.8505</v>
      </c>
      <c r="X43" s="93">
        <f>VLOOKUP(9,$A$4:$AX$32,24,FALSE)</f>
        <v>7254.702</v>
      </c>
      <c r="Y43" s="93">
        <f>VLOOKUP(9,$A$4:$AX$32,25,FALSE)</f>
        <v>7536.9735</v>
      </c>
      <c r="Z43" s="93">
        <f>VLOOKUP(9,$A$4:$AX$32,26,FALSE)</f>
        <v>6872.9325</v>
      </c>
      <c r="AA43" s="93">
        <f>VLOOKUP(9,$A$4:$AX$32,27,FALSE)</f>
        <v>7818.1635</v>
      </c>
      <c r="AB43" s="93">
        <f>VLOOKUP(9,$A$4:$AX$32,28,FALSE)</f>
        <v>7305.5325</v>
      </c>
      <c r="AC43" s="93">
        <f>VLOOKUP(9,$A$4:$AX$32,29,FALSE)</f>
        <v>6692.322</v>
      </c>
      <c r="AD43" s="93">
        <f>VLOOKUP(9,$A$4:$AX$32,30,FALSE)</f>
        <v>7031.913</v>
      </c>
      <c r="AE43" s="93">
        <f>VLOOKUP(9,$A$4:$AX$32,31,FALSE)</f>
        <v>7022.3385</v>
      </c>
      <c r="AF43" s="93">
        <f>VLOOKUP(9,$A$4:$AX$32,32,FALSE)</f>
        <v>7563.0205</v>
      </c>
      <c r="AG43" s="93">
        <f>VLOOKUP(9,$A$4:$AX$32,33,FALSE)</f>
        <v>7084.766</v>
      </c>
      <c r="AH43" s="93">
        <f>VLOOKUP(9,$A$4:$AX$32,34,FALSE)</f>
        <v>6748.294</v>
      </c>
      <c r="AI43" s="93">
        <f>VLOOKUP(9,$A$4:$AX$32,35,FALSE)</f>
        <v>7467.031</v>
      </c>
    </row>
    <row r="44" spans="1:35" ht="25.5">
      <c r="A44">
        <v>10</v>
      </c>
      <c r="B44" s="78" t="s">
        <v>86</v>
      </c>
      <c r="C44" s="93">
        <f>VLOOKUP(10,$A$4:$AX$32,3,FALSE)</f>
        <v>7738.905</v>
      </c>
      <c r="D44" s="93">
        <f>VLOOKUP(10,$A$4:$AX$32,4,FALSE)</f>
        <v>9806.115</v>
      </c>
      <c r="E44" s="93">
        <f>VLOOKUP(10,$A$4:$AX$32,5,FALSE)</f>
        <v>8611.83</v>
      </c>
      <c r="F44" s="93">
        <f>VLOOKUP(10,$A$4:$AX$32,6,FALSE)</f>
        <v>8981.085</v>
      </c>
      <c r="G44" s="93">
        <f>VLOOKUP(10,$A$4:$AX$32,7,FALSE)</f>
        <v>9375.06</v>
      </c>
      <c r="H44" s="93">
        <f>VLOOKUP(10,$A$4:$AX$32,8,FALSE)</f>
        <v>9293.175</v>
      </c>
      <c r="I44" s="93">
        <f>VLOOKUP(10,$A$4:$AX$32,9,FALSE)</f>
        <v>9497.115</v>
      </c>
      <c r="J44" s="93">
        <f>VLOOKUP(10,$A$4:$AX$32,10,FALSE)</f>
        <v>9897.27</v>
      </c>
      <c r="K44" s="93">
        <f>VLOOKUP(10,$A$4:$AX$32,11,FALSE)</f>
        <v>9452.31</v>
      </c>
      <c r="L44" s="93">
        <f>VLOOKUP(10,$A$4:$AX$32,12,FALSE)</f>
        <v>8871.39</v>
      </c>
      <c r="M44" s="93">
        <f>VLOOKUP(10,$A$4:$AX$32,13,FALSE)</f>
        <v>11025.12</v>
      </c>
      <c r="N44" s="93">
        <f>VLOOKUP(10,$A$4:$AX$32,14,FALSE)</f>
        <v>9563.55</v>
      </c>
      <c r="O44" s="93">
        <f>VLOOKUP(10,$A$4:$AX$32,15,FALSE)</f>
        <v>10784.1</v>
      </c>
      <c r="P44" s="93">
        <f>VLOOKUP(10,$A$4:$AX$32,16,FALSE)</f>
        <v>9996.15</v>
      </c>
      <c r="Q44" s="93">
        <f>VLOOKUP(10,$A$4:$AX$32,17,FALSE)</f>
        <v>9540.375</v>
      </c>
      <c r="R44" s="93">
        <f>VLOOKUP(10,$A$4:$AX$32,18,FALSE)</f>
        <v>9921.99</v>
      </c>
      <c r="S44" s="93">
        <f>VLOOKUP(10,$A$4:$AX$32,19,FALSE)</f>
        <v>9625.35</v>
      </c>
      <c r="T44" s="93">
        <f>VLOOKUP(10,$A$4:$AX$32,20,FALSE)</f>
        <v>9801.48</v>
      </c>
      <c r="U44" s="93">
        <f>VLOOKUP(10,$A$4:$AX$32,21,FALSE)</f>
        <v>9892.635</v>
      </c>
      <c r="V44" s="93">
        <f>VLOOKUP(10,$A$4:$AX$32,22,FALSE)</f>
        <v>9849.375</v>
      </c>
      <c r="W44" s="93">
        <f>VLOOKUP(10,$A$4:$AX$32,23,FALSE)</f>
        <v>10061.04</v>
      </c>
      <c r="X44" s="93">
        <f>VLOOKUP(10,$A$4:$AX$32,24,FALSE)</f>
        <v>9291.63</v>
      </c>
      <c r="Y44" s="93">
        <f>VLOOKUP(10,$A$4:$AX$32,25,FALSE)</f>
        <v>10078.035</v>
      </c>
      <c r="Z44" s="93">
        <f>VLOOKUP(10,$A$4:$AX$32,26,FALSE)</f>
        <v>8672.085</v>
      </c>
      <c r="AA44" s="93">
        <f>VLOOKUP(10,$A$4:$AX$32,27,FALSE)</f>
        <v>9747.405</v>
      </c>
      <c r="AB44" s="93">
        <f>VLOOKUP(10,$A$4:$AX$32,28,FALSE)</f>
        <v>9807.66</v>
      </c>
      <c r="AC44" s="93">
        <f>VLOOKUP(10,$A$4:$AX$32,29,FALSE)</f>
        <v>8965.635</v>
      </c>
      <c r="AD44" s="93">
        <f>VLOOKUP(10,$A$4:$AX$32,30,FALSE)</f>
        <v>9689.3486</v>
      </c>
      <c r="AE44" s="93">
        <f>VLOOKUP(10,$A$4:$AX$32,31,FALSE)</f>
        <v>8495.8376</v>
      </c>
      <c r="AF44" s="93">
        <f>VLOOKUP(10,$A$4:$AX$32,32,FALSE)</f>
        <v>9444.4933</v>
      </c>
      <c r="AG44" s="93">
        <f>VLOOKUP(10,$A$4:$AX$32,33,FALSE)</f>
        <v>9058.5438</v>
      </c>
      <c r="AH44" s="93">
        <f>VLOOKUP(10,$A$4:$AX$32,34,FALSE)</f>
        <v>9171.1147</v>
      </c>
      <c r="AI44" s="93">
        <f>VLOOKUP(10,$A$4:$AX$32,35,FALSE)</f>
        <v>9805.0362</v>
      </c>
    </row>
    <row r="45" spans="1:35" ht="12.75">
      <c r="A45">
        <v>11</v>
      </c>
      <c r="B45" s="78" t="s">
        <v>87</v>
      </c>
      <c r="C45" s="93">
        <f>VLOOKUP(11,$A$4:$AX$32,3,FALSE)</f>
        <v>33111.284</v>
      </c>
      <c r="D45" s="93">
        <f>VLOOKUP(11,$A$4:$AX$32,4,FALSE)</f>
        <v>41258.184</v>
      </c>
      <c r="E45" s="93">
        <f>VLOOKUP(11,$A$4:$AX$32,5,FALSE)</f>
        <v>38065.36</v>
      </c>
      <c r="F45" s="93">
        <f>VLOOKUP(11,$A$4:$AX$32,6,FALSE)</f>
        <v>37392.052</v>
      </c>
      <c r="G45" s="93">
        <f>VLOOKUP(11,$A$4:$AX$32,7,FALSE)</f>
        <v>37946.168</v>
      </c>
      <c r="H45" s="93">
        <f>VLOOKUP(11,$A$4:$AX$32,8,FALSE)</f>
        <v>37735.68</v>
      </c>
      <c r="I45" s="93">
        <f>VLOOKUP(11,$A$4:$AX$32,9,FALSE)</f>
        <v>40730.696</v>
      </c>
      <c r="J45" s="93">
        <f>VLOOKUP(11,$A$4:$AX$32,10,FALSE)</f>
        <v>40885.392</v>
      </c>
      <c r="K45" s="93">
        <f>VLOOKUP(11,$A$4:$AX$32,11,FALSE)</f>
        <v>40771.272</v>
      </c>
      <c r="L45" s="93">
        <f>VLOOKUP(11,$A$4:$AX$32,12,FALSE)</f>
        <v>38406.452</v>
      </c>
      <c r="M45" s="93">
        <f>VLOOKUP(11,$A$4:$AX$32,13,FALSE)</f>
        <v>45703.792</v>
      </c>
      <c r="N45" s="93">
        <f>VLOOKUP(11,$A$4:$AX$32,14,FALSE)</f>
        <v>42076.044</v>
      </c>
      <c r="O45" s="93">
        <f>VLOOKUP(11,$A$4:$AX$32,15,FALSE)</f>
        <v>45949.784</v>
      </c>
      <c r="P45" s="93">
        <f>VLOOKUP(11,$A$4:$AX$32,16,FALSE)</f>
        <v>43344.044</v>
      </c>
      <c r="Q45" s="93">
        <f>VLOOKUP(11,$A$4:$AX$32,17,FALSE)</f>
        <v>41250.576</v>
      </c>
      <c r="R45" s="93">
        <f>VLOOKUP(11,$A$4:$AX$32,18,FALSE)</f>
        <v>43086.64</v>
      </c>
      <c r="S45" s="93">
        <f>VLOOKUP(11,$A$4:$AX$32,19,FALSE)</f>
        <v>44775.616</v>
      </c>
      <c r="T45" s="93">
        <f>VLOOKUP(11,$A$4:$AX$32,20,FALSE)</f>
        <v>42212.988</v>
      </c>
      <c r="U45" s="93">
        <f>VLOOKUP(11,$A$4:$AX$32,21,FALSE)</f>
        <v>44506.8</v>
      </c>
      <c r="V45" s="93">
        <f>VLOOKUP(11,$A$4:$AX$32,22,FALSE)</f>
        <v>44212.624</v>
      </c>
      <c r="W45" s="93">
        <f>VLOOKUP(11,$A$4:$AX$32,23,FALSE)</f>
        <v>42333.448</v>
      </c>
      <c r="X45" s="93">
        <f>VLOOKUP(11,$A$4:$AX$32,24,FALSE)</f>
        <v>40421.304</v>
      </c>
      <c r="Y45" s="93">
        <f>VLOOKUP(11,$A$4:$AX$32,25,FALSE)</f>
        <v>45220.684</v>
      </c>
      <c r="Z45" s="93">
        <f>VLOOKUP(11,$A$4:$AX$32,26,FALSE)</f>
        <v>38515.5</v>
      </c>
      <c r="AA45" s="93">
        <f>VLOOKUP(11,$A$4:$AX$32,27,FALSE)</f>
        <v>45100.224</v>
      </c>
      <c r="AB45" s="93">
        <f>VLOOKUP(11,$A$4:$AX$32,28,FALSE)</f>
        <v>40033.136</v>
      </c>
      <c r="AC45" s="93">
        <f>VLOOKUP(11,$A$4:$AX$32,29,FALSE)</f>
        <v>37923.6</v>
      </c>
      <c r="AD45" s="93">
        <f>VLOOKUP(11,$A$4:$AX$32,30,FALSE)</f>
        <v>40555.944</v>
      </c>
      <c r="AE45" s="93">
        <f>VLOOKUP(11,$A$4:$AX$32,31,FALSE)</f>
        <v>37335.584</v>
      </c>
      <c r="AF45" s="93">
        <f>VLOOKUP(11,$A$4:$AX$32,32,FALSE)</f>
        <v>40556.678</v>
      </c>
      <c r="AG45" s="93">
        <f>VLOOKUP(11,$A$4:$AX$32,33,FALSE)</f>
        <v>37701.2935</v>
      </c>
      <c r="AH45" s="93">
        <f>VLOOKUP(11,$A$4:$AX$32,34,FALSE)</f>
        <v>30521.655</v>
      </c>
      <c r="AI45" s="93">
        <f>VLOOKUP(11,$A$4:$AX$32,35,FALSE)</f>
        <v>34276.2215</v>
      </c>
    </row>
    <row r="46" spans="1:35" ht="12.75">
      <c r="A46">
        <v>12</v>
      </c>
      <c r="B46" s="78" t="s">
        <v>88</v>
      </c>
      <c r="C46" s="93">
        <f>VLOOKUP(12,$A$4:$AX$32,3,FALSE)</f>
        <v>22112.343</v>
      </c>
      <c r="D46" s="93">
        <f>VLOOKUP(12,$A$4:$AX$32,4,FALSE)</f>
        <v>26450.5615</v>
      </c>
      <c r="E46" s="93">
        <f>VLOOKUP(12,$A$4:$AX$32,5,FALSE)</f>
        <v>23389.3275</v>
      </c>
      <c r="F46" s="93">
        <f>VLOOKUP(12,$A$4:$AX$32,6,FALSE)</f>
        <v>25777.884</v>
      </c>
      <c r="G46" s="93">
        <f>VLOOKUP(12,$A$4:$AX$32,7,FALSE)</f>
        <v>26726.249</v>
      </c>
      <c r="H46" s="93">
        <f>VLOOKUP(12,$A$4:$AX$32,8,FALSE)</f>
        <v>26649.0565</v>
      </c>
      <c r="I46" s="93">
        <f>VLOOKUP(12,$A$4:$AX$32,9,FALSE)</f>
        <v>27387.899</v>
      </c>
      <c r="J46" s="93">
        <f>VLOOKUP(12,$A$4:$AX$32,10,FALSE)</f>
        <v>30045.5265</v>
      </c>
      <c r="K46" s="93">
        <f>VLOOKUP(12,$A$4:$AX$32,11,FALSE)</f>
        <v>28113.5085</v>
      </c>
      <c r="L46" s="93">
        <f>VLOOKUP(12,$A$4:$AX$32,12,FALSE)</f>
        <v>25826.405</v>
      </c>
      <c r="M46" s="93">
        <f>VLOOKUP(12,$A$4:$AX$32,13,FALSE)</f>
        <v>30696.149</v>
      </c>
      <c r="N46" s="93">
        <f>VLOOKUP(12,$A$4:$AX$32,14,FALSE)</f>
        <v>29588.988</v>
      </c>
      <c r="O46" s="93">
        <f>VLOOKUP(12,$A$4:$AX$32,15,FALSE)</f>
        <v>30116.1025</v>
      </c>
      <c r="P46" s="93">
        <f>VLOOKUP(12,$A$4:$AX$32,16,FALSE)</f>
        <v>31161.5095</v>
      </c>
      <c r="Q46" s="93">
        <f>VLOOKUP(12,$A$4:$AX$32,17,FALSE)</f>
        <v>28720.021</v>
      </c>
      <c r="R46" s="93">
        <f>VLOOKUP(12,$A$4:$AX$32,18,FALSE)</f>
        <v>31011.5355</v>
      </c>
      <c r="S46" s="93">
        <f>VLOOKUP(12,$A$4:$AX$32,19,FALSE)</f>
        <v>28797.2135</v>
      </c>
      <c r="T46" s="93">
        <f>VLOOKUP(12,$A$4:$AX$32,20,FALSE)</f>
        <v>28217.167</v>
      </c>
      <c r="U46" s="93">
        <f>VLOOKUP(12,$A$4:$AX$32,21,FALSE)</f>
        <v>28686.9385</v>
      </c>
      <c r="V46" s="93">
        <f>VLOOKUP(12,$A$4:$AX$32,22,FALSE)</f>
        <v>29922.0185</v>
      </c>
      <c r="W46" s="93">
        <f>VLOOKUP(12,$A$4:$AX$32,23,FALSE)</f>
        <v>29278.0125</v>
      </c>
      <c r="X46" s="93">
        <f>VLOOKUP(12,$A$4:$AX$32,24,FALSE)</f>
        <v>27652.559</v>
      </c>
      <c r="Y46" s="93">
        <f>VLOOKUP(12,$A$4:$AX$32,25,FALSE)</f>
        <v>30918.9045</v>
      </c>
      <c r="Z46" s="93">
        <f>VLOOKUP(12,$A$4:$AX$32,26,FALSE)</f>
        <v>26439.534</v>
      </c>
      <c r="AA46" s="93">
        <f>VLOOKUP(12,$A$4:$AX$32,27,FALSE)</f>
        <v>30771.136</v>
      </c>
      <c r="AB46" s="93">
        <f>VLOOKUP(12,$A$4:$AX$32,28,FALSE)</f>
        <v>27243.756</v>
      </c>
      <c r="AC46" s="93">
        <f>VLOOKUP(12,$A$4:$AX$32,29,FALSE)</f>
        <v>24695.1855</v>
      </c>
      <c r="AD46" s="93">
        <f>VLOOKUP(12,$A$4:$AX$32,30,FALSE)</f>
        <v>27593.757</v>
      </c>
      <c r="AE46" s="93">
        <f>VLOOKUP(12,$A$4:$AX$32,31,FALSE)</f>
        <v>25829.6715</v>
      </c>
      <c r="AF46" s="93">
        <f>VLOOKUP(12,$A$4:$AX$32,32,FALSE)</f>
        <v>27571.6011</v>
      </c>
      <c r="AG46" s="93">
        <f>VLOOKUP(12,$A$4:$AX$32,33,FALSE)</f>
        <v>26723.0032</v>
      </c>
      <c r="AH46" s="93">
        <f>VLOOKUP(12,$A$4:$AX$32,34,FALSE)</f>
        <v>23971.3378</v>
      </c>
      <c r="AI46" s="93">
        <f>VLOOKUP(12,$A$4:$AX$32,35,FALSE)</f>
        <v>27539.6669</v>
      </c>
    </row>
    <row r="47" spans="1:35" ht="12.75">
      <c r="A47">
        <v>13</v>
      </c>
      <c r="B47" s="78" t="s">
        <v>89</v>
      </c>
      <c r="C47" s="93">
        <f>VLOOKUP(13,$A$4:$AX$32,3,FALSE)</f>
        <v>24836.091</v>
      </c>
      <c r="D47" s="93">
        <f>VLOOKUP(13,$A$4:$AX$32,4,FALSE)</f>
        <v>29831.2575</v>
      </c>
      <c r="E47" s="93">
        <f>VLOOKUP(13,$A$4:$AX$32,5,FALSE)</f>
        <v>26520.0945</v>
      </c>
      <c r="F47" s="93">
        <f>VLOOKUP(13,$A$4:$AX$32,6,FALSE)</f>
        <v>27401.1765</v>
      </c>
      <c r="G47" s="93">
        <f>VLOOKUP(13,$A$4:$AX$32,7,FALSE)</f>
        <v>26844.579</v>
      </c>
      <c r="H47" s="93">
        <f>VLOOKUP(13,$A$4:$AX$32,8,FALSE)</f>
        <v>26167.188</v>
      </c>
      <c r="I47" s="93">
        <f>VLOOKUP(13,$A$4:$AX$32,9,FALSE)</f>
        <v>27943.563</v>
      </c>
      <c r="J47" s="93">
        <f>VLOOKUP(13,$A$4:$AX$32,10,FALSE)</f>
        <v>27680.6595</v>
      </c>
      <c r="K47" s="93">
        <f>VLOOKUP(13,$A$4:$AX$32,11,FALSE)</f>
        <v>27128.799</v>
      </c>
      <c r="L47" s="93">
        <f>VLOOKUP(13,$A$4:$AX$32,12,FALSE)</f>
        <v>24779.247</v>
      </c>
      <c r="M47" s="93">
        <f>VLOOKUP(13,$A$4:$AX$32,13,FALSE)</f>
        <v>29499.6675</v>
      </c>
      <c r="N47" s="93">
        <f>VLOOKUP(13,$A$4:$AX$32,14,FALSE)</f>
        <v>26662.2045</v>
      </c>
      <c r="O47" s="93">
        <f>VLOOKUP(13,$A$4:$AX$32,15,FALSE)</f>
        <v>28116.4635</v>
      </c>
      <c r="P47" s="93">
        <f>VLOOKUP(13,$A$4:$AX$32,16,FALSE)</f>
        <v>27690.1335</v>
      </c>
      <c r="Q47" s="93">
        <f>VLOOKUP(13,$A$4:$AX$32,17,FALSE)</f>
        <v>26325.8775</v>
      </c>
      <c r="R47" s="93">
        <f>VLOOKUP(13,$A$4:$AX$32,18,FALSE)</f>
        <v>28855.4355</v>
      </c>
      <c r="S47" s="93">
        <f>VLOOKUP(13,$A$4:$AX$32,19,FALSE)</f>
        <v>28166.202</v>
      </c>
      <c r="T47" s="93">
        <f>VLOOKUP(13,$A$4:$AX$32,20,FALSE)</f>
        <v>26719.0485</v>
      </c>
      <c r="U47" s="93">
        <f>VLOOKUP(13,$A$4:$AX$32,21,FALSE)</f>
        <v>29547.0375</v>
      </c>
      <c r="V47" s="93">
        <f>VLOOKUP(13,$A$4:$AX$32,22,FALSE)</f>
        <v>28294.101</v>
      </c>
      <c r="W47" s="93">
        <f>VLOOKUP(13,$A$4:$AX$32,23,FALSE)</f>
        <v>28320.1545</v>
      </c>
      <c r="X47" s="93">
        <f>VLOOKUP(13,$A$4:$AX$32,24,FALSE)</f>
        <v>26778.261</v>
      </c>
      <c r="Y47" s="93">
        <f>VLOOKUP(13,$A$4:$AX$32,25,FALSE)</f>
        <v>29468.877</v>
      </c>
      <c r="Z47" s="93">
        <f>VLOOKUP(13,$A$4:$AX$32,26,FALSE)</f>
        <v>25795.3335</v>
      </c>
      <c r="AA47" s="93">
        <f>VLOOKUP(13,$A$4:$AX$32,27,FALSE)</f>
        <v>29994.684</v>
      </c>
      <c r="AB47" s="93">
        <f>VLOOKUP(13,$A$4:$AX$32,28,FALSE)</f>
        <v>26638.352</v>
      </c>
      <c r="AC47" s="93">
        <f>VLOOKUP(13,$A$4:$AX$32,29,FALSE)</f>
        <v>24952.954</v>
      </c>
      <c r="AD47" s="93">
        <f>VLOOKUP(13,$A$4:$AX$32,30,FALSE)</f>
        <v>26690.144</v>
      </c>
      <c r="AE47" s="93">
        <f>VLOOKUP(13,$A$4:$AX$32,31,FALSE)</f>
        <v>25421.24</v>
      </c>
      <c r="AF47" s="93">
        <f>VLOOKUP(13,$A$4:$AX$32,32,FALSE)</f>
        <v>27387.1188</v>
      </c>
      <c r="AG47" s="93">
        <f>VLOOKUP(13,$A$4:$AX$32,33,FALSE)</f>
        <v>25132.7691</v>
      </c>
      <c r="AH47" s="93">
        <f>VLOOKUP(13,$A$4:$AX$32,34,FALSE)</f>
        <v>23970.0325</v>
      </c>
      <c r="AI47" s="93">
        <f>VLOOKUP(13,$A$4:$AX$32,35,FALSE)</f>
        <v>28290.3485</v>
      </c>
    </row>
    <row r="48" spans="1:35" ht="12.75">
      <c r="A48">
        <v>14</v>
      </c>
      <c r="B48" s="78" t="s">
        <v>90</v>
      </c>
      <c r="C48" s="93">
        <f>VLOOKUP(14,$A$4:$AX$32,3,FALSE)</f>
        <v>1053.9825</v>
      </c>
      <c r="D48" s="93">
        <f>VLOOKUP(14,$A$4:$AX$32,4,FALSE)</f>
        <v>1693.4775</v>
      </c>
      <c r="E48" s="93">
        <f>VLOOKUP(14,$A$4:$AX$32,5,FALSE)</f>
        <v>1193.724</v>
      </c>
      <c r="F48" s="93">
        <f>VLOOKUP(14,$A$4:$AX$32,6,FALSE)</f>
        <v>1335.834</v>
      </c>
      <c r="G48" s="93">
        <f>VLOOKUP(14,$A$4:$AX$32,7,FALSE)</f>
        <v>1601.106</v>
      </c>
      <c r="H48" s="93">
        <f>VLOOKUP(14,$A$4:$AX$32,8,FALSE)</f>
        <v>1570.3155</v>
      </c>
      <c r="I48" s="93">
        <f>VLOOKUP(14,$A$4:$AX$32,9,FALSE)</f>
        <v>2025.0675</v>
      </c>
      <c r="J48" s="93">
        <f>VLOOKUP(14,$A$4:$AX$32,10,FALSE)</f>
        <v>2105.5965</v>
      </c>
      <c r="K48" s="93">
        <f>VLOOKUP(14,$A$4:$AX$32,11,FALSE)</f>
        <v>2257.1805</v>
      </c>
      <c r="L48" s="93">
        <f>VLOOKUP(14,$A$4:$AX$32,12,FALSE)</f>
        <v>2290.3395</v>
      </c>
      <c r="M48" s="93">
        <f>VLOOKUP(14,$A$4:$AX$32,13,FALSE)</f>
        <v>2292.708</v>
      </c>
      <c r="N48" s="93">
        <f>VLOOKUP(14,$A$4:$AX$32,14,FALSE)</f>
        <v>2967.7305</v>
      </c>
      <c r="O48" s="93">
        <f>VLOOKUP(14,$A$4:$AX$32,15,FALSE)</f>
        <v>2463.24</v>
      </c>
      <c r="P48" s="93">
        <f>VLOOKUP(14,$A$4:$AX$32,16,FALSE)</f>
        <v>2370.8685</v>
      </c>
      <c r="Q48" s="93">
        <f>VLOOKUP(14,$A$4:$AX$32,17,FALSE)</f>
        <v>2368.5</v>
      </c>
      <c r="R48" s="93">
        <f>VLOOKUP(14,$A$4:$AX$32,18,FALSE)</f>
        <v>2340.078</v>
      </c>
      <c r="S48" s="93">
        <f>VLOOKUP(14,$A$4:$AX$32,19,FALSE)</f>
        <v>2576.928</v>
      </c>
      <c r="T48" s="93">
        <f>VLOOKUP(14,$A$4:$AX$32,20,FALSE)</f>
        <v>2167.1775</v>
      </c>
      <c r="U48" s="93">
        <f>VLOOKUP(14,$A$4:$AX$32,21,FALSE)</f>
        <v>2155.335</v>
      </c>
      <c r="V48" s="93">
        <f>VLOOKUP(14,$A$4:$AX$32,22,FALSE)</f>
        <v>2074.806</v>
      </c>
      <c r="W48" s="93">
        <f>VLOOKUP(14,$A$4:$AX$32,23,FALSE)</f>
        <v>2186.1255</v>
      </c>
      <c r="X48" s="93">
        <f>VLOOKUP(14,$A$4:$AX$32,24,FALSE)</f>
        <v>2150.598</v>
      </c>
      <c r="Y48" s="93">
        <f>VLOOKUP(14,$A$4:$AX$32,25,FALSE)</f>
        <v>2058.2265</v>
      </c>
      <c r="Z48" s="93">
        <f>VLOOKUP(14,$A$4:$AX$32,26,FALSE)</f>
        <v>2074.806</v>
      </c>
      <c r="AA48" s="93">
        <f>VLOOKUP(14,$A$4:$AX$32,27,FALSE)</f>
        <v>2219.2845</v>
      </c>
      <c r="AB48" s="93">
        <f>VLOOKUP(14,$A$4:$AX$32,28,FALSE)</f>
        <v>2136.42</v>
      </c>
      <c r="AC48" s="93">
        <f>VLOOKUP(14,$A$4:$AX$32,29,FALSE)</f>
        <v>2063.048</v>
      </c>
      <c r="AD48" s="93">
        <f>VLOOKUP(14,$A$4:$AX$32,30,FALSE)</f>
        <v>2606.864</v>
      </c>
      <c r="AE48" s="93">
        <f>VLOOKUP(14,$A$4:$AX$32,31,FALSE)</f>
        <v>2591.758</v>
      </c>
      <c r="AF48" s="93">
        <f>VLOOKUP(14,$A$4:$AX$32,32,FALSE)</f>
        <v>2723.396</v>
      </c>
      <c r="AG48" s="93">
        <f>VLOOKUP(14,$A$4:$AX$32,33,FALSE)</f>
        <v>2861.508</v>
      </c>
      <c r="AH48" s="93">
        <f>VLOOKUP(14,$A$4:$AX$32,34,FALSE)</f>
        <v>2962.934</v>
      </c>
      <c r="AI48" s="93">
        <f>VLOOKUP(14,$A$4:$AX$32,35,FALSE)</f>
        <v>4164.94</v>
      </c>
    </row>
    <row r="49" spans="1:35" ht="12.75">
      <c r="A49">
        <v>15</v>
      </c>
      <c r="B49" s="78" t="s">
        <v>91</v>
      </c>
      <c r="C49" s="93">
        <f>VLOOKUP(15,$A$4:$AX$32,3,FALSE)</f>
        <v>0</v>
      </c>
      <c r="D49" s="93">
        <f>VLOOKUP(15,$A$4:$AX$32,4,FALSE)</f>
        <v>0</v>
      </c>
      <c r="E49" s="93">
        <f>VLOOKUP(15,$A$4:$AX$32,5,FALSE)</f>
        <v>0</v>
      </c>
      <c r="F49" s="93">
        <f>VLOOKUP(15,$A$4:$AX$32,6,FALSE)</f>
        <v>0</v>
      </c>
      <c r="G49" s="93">
        <f>VLOOKUP(15,$A$4:$AX$32,7,FALSE)</f>
        <v>0</v>
      </c>
      <c r="H49" s="93">
        <f>VLOOKUP(15,$A$4:$AX$32,8,FALSE)</f>
        <v>0</v>
      </c>
      <c r="I49" s="93">
        <f>VLOOKUP(15,$A$4:$AX$32,9,FALSE)</f>
        <v>0</v>
      </c>
      <c r="J49" s="93">
        <f>VLOOKUP(15,$A$4:$AX$32,10,FALSE)</f>
        <v>0</v>
      </c>
      <c r="K49" s="93">
        <f>VLOOKUP(15,$A$4:$AX$32,11,FALSE)</f>
        <v>0</v>
      </c>
      <c r="L49" s="93">
        <f>VLOOKUP(15,$A$4:$AX$32,12,FALSE)</f>
        <v>0</v>
      </c>
      <c r="M49" s="93">
        <f>VLOOKUP(15,$A$4:$AX$32,13,FALSE)</f>
        <v>0</v>
      </c>
      <c r="N49" s="93">
        <f>VLOOKUP(15,$A$4:$AX$32,14,FALSE)</f>
        <v>0</v>
      </c>
      <c r="O49" s="93">
        <f>VLOOKUP(15,$A$4:$AX$32,15,FALSE)</f>
        <v>0</v>
      </c>
      <c r="P49" s="93">
        <f>VLOOKUP(15,$A$4:$AX$32,16,FALSE)</f>
        <v>0</v>
      </c>
      <c r="Q49" s="93">
        <f>VLOOKUP(15,$A$4:$AX$32,17,FALSE)</f>
        <v>0</v>
      </c>
      <c r="R49" s="93">
        <f>VLOOKUP(15,$A$4:$AX$32,18,FALSE)</f>
        <v>0</v>
      </c>
      <c r="S49" s="93">
        <f>VLOOKUP(15,$A$4:$AX$32,19,FALSE)</f>
        <v>0</v>
      </c>
      <c r="T49" s="93">
        <f>VLOOKUP(15,$A$4:$AX$32,20,FALSE)</f>
        <v>0</v>
      </c>
      <c r="U49" s="93">
        <f>VLOOKUP(15,$A$4:$AX$32,21,FALSE)</f>
        <v>0</v>
      </c>
      <c r="V49" s="93">
        <f>VLOOKUP(15,$A$4:$AX$32,22,FALSE)</f>
        <v>0</v>
      </c>
      <c r="W49" s="93">
        <f>VLOOKUP(15,$A$4:$AX$32,23,FALSE)</f>
        <v>0</v>
      </c>
      <c r="X49" s="93">
        <f>VLOOKUP(15,$A$4:$AX$32,24,FALSE)</f>
        <v>1542.6225</v>
      </c>
      <c r="Y49" s="93">
        <f>VLOOKUP(15,$A$4:$AX$32,25,FALSE)</f>
        <v>3842.8755</v>
      </c>
      <c r="Z49" s="93">
        <f>VLOOKUP(15,$A$4:$AX$32,26,FALSE)</f>
        <v>5005.2675</v>
      </c>
      <c r="AA49" s="93">
        <f>VLOOKUP(15,$A$4:$AX$32,27,FALSE)</f>
        <v>7142.295</v>
      </c>
      <c r="AB49" s="93">
        <f>VLOOKUP(15,$A$4:$AX$32,28,FALSE)</f>
        <v>8441.4945</v>
      </c>
      <c r="AC49" s="93">
        <f>VLOOKUP(15,$A$4:$AX$32,29,FALSE)</f>
        <v>8737.6329</v>
      </c>
      <c r="AD49" s="93">
        <f>VLOOKUP(15,$A$4:$AX$32,30,FALSE)</f>
        <v>9769.7416</v>
      </c>
      <c r="AE49" s="93">
        <f>VLOOKUP(15,$A$4:$AX$32,31,FALSE)</f>
        <v>10081.7635</v>
      </c>
      <c r="AF49" s="93">
        <f>VLOOKUP(15,$A$4:$AX$32,32,FALSE)</f>
        <v>11990.7219</v>
      </c>
      <c r="AG49" s="93">
        <f>VLOOKUP(15,$A$4:$AX$32,33,FALSE)</f>
        <v>12531.1465</v>
      </c>
      <c r="AH49" s="93">
        <f>VLOOKUP(15,$A$4:$AX$32,34,FALSE)</f>
        <v>11838.7099</v>
      </c>
      <c r="AI49" s="93">
        <f>VLOOKUP(15,$A$4:$AX$32,35,FALSE)</f>
        <v>15156.718</v>
      </c>
    </row>
    <row r="50" spans="1:35" ht="12.75">
      <c r="A50">
        <v>16</v>
      </c>
      <c r="B50" s="78" t="s">
        <v>92</v>
      </c>
      <c r="C50" s="93">
        <f>VLOOKUP(16,$A$4:$AX$32,3,FALSE)</f>
        <v>5705.4825</v>
      </c>
      <c r="D50" s="93">
        <f>VLOOKUP(16,$A$4:$AX$32,4,FALSE)</f>
        <v>9979.4475</v>
      </c>
      <c r="E50" s="93">
        <f>VLOOKUP(16,$A$4:$AX$32,5,FALSE)</f>
        <v>10893.5325</v>
      </c>
      <c r="F50" s="93">
        <f>VLOOKUP(16,$A$4:$AX$32,6,FALSE)</f>
        <v>10742.5575</v>
      </c>
      <c r="G50" s="93">
        <f>VLOOKUP(16,$A$4:$AX$32,7,FALSE)</f>
        <v>11421.945</v>
      </c>
      <c r="H50" s="93">
        <f>VLOOKUP(16,$A$4:$AX$32,8,FALSE)</f>
        <v>10796.085</v>
      </c>
      <c r="I50" s="93">
        <f>VLOOKUP(16,$A$4:$AX$32,9,FALSE)</f>
        <v>10634.13</v>
      </c>
      <c r="J50" s="93">
        <f>VLOOKUP(16,$A$4:$AX$32,10,FALSE)</f>
        <v>10337.67</v>
      </c>
      <c r="K50" s="93">
        <f>VLOOKUP(16,$A$4:$AX$32,11,FALSE)</f>
        <v>10490.0175</v>
      </c>
      <c r="L50" s="93">
        <f>VLOOKUP(16,$A$4:$AX$32,12,FALSE)</f>
        <v>10704.1275</v>
      </c>
      <c r="M50" s="93">
        <f>VLOOKUP(16,$A$4:$AX$32,13,FALSE)</f>
        <v>12839.7375</v>
      </c>
      <c r="N50" s="93">
        <f>VLOOKUP(16,$A$4:$AX$32,14,FALSE)</f>
        <v>12957.7725</v>
      </c>
      <c r="O50" s="93">
        <f>VLOOKUP(16,$A$4:$AX$32,15,FALSE)</f>
        <v>14553.99</v>
      </c>
      <c r="P50" s="93">
        <f>VLOOKUP(16,$A$4:$AX$32,16,FALSE)</f>
        <v>15333.57</v>
      </c>
      <c r="Q50" s="93">
        <f>VLOOKUP(16,$A$4:$AX$32,17,FALSE)</f>
        <v>14312.43</v>
      </c>
      <c r="R50" s="93">
        <f>VLOOKUP(16,$A$4:$AX$32,18,FALSE)</f>
        <v>15790.6125</v>
      </c>
      <c r="S50" s="93">
        <f>VLOOKUP(16,$A$4:$AX$32,19,FALSE)</f>
        <v>16017.075</v>
      </c>
      <c r="T50" s="93">
        <f>VLOOKUP(16,$A$4:$AX$32,20,FALSE)</f>
        <v>15584.7375</v>
      </c>
      <c r="U50" s="93">
        <f>VLOOKUP(16,$A$4:$AX$32,21,FALSE)</f>
        <v>16830.9675</v>
      </c>
      <c r="V50" s="93">
        <f>VLOOKUP(16,$A$4:$AX$32,22,FALSE)</f>
        <v>17528.1975</v>
      </c>
      <c r="W50" s="93">
        <f>VLOOKUP(16,$A$4:$AX$32,23,FALSE)</f>
        <v>17728.5825</v>
      </c>
      <c r="X50" s="93">
        <f>VLOOKUP(16,$A$4:$AX$32,24,FALSE)</f>
        <v>17231.7375</v>
      </c>
      <c r="Y50" s="93">
        <f>VLOOKUP(16,$A$4:$AX$32,25,FALSE)</f>
        <v>20005.56</v>
      </c>
      <c r="Z50" s="93">
        <f>VLOOKUP(16,$A$4:$AX$32,26,FALSE)</f>
        <v>17130.1725</v>
      </c>
      <c r="AA50" s="93">
        <f>VLOOKUP(16,$A$4:$AX$32,27,FALSE)</f>
        <v>19372.8375</v>
      </c>
      <c r="AB50" s="93">
        <f>VLOOKUP(16,$A$4:$AX$32,28,FALSE)</f>
        <v>20977.29</v>
      </c>
      <c r="AC50" s="93">
        <f>VLOOKUP(16,$A$4:$AX$32,29,FALSE)</f>
        <v>18716.7825</v>
      </c>
      <c r="AD50" s="93">
        <f>VLOOKUP(16,$A$4:$AX$32,30,FALSE)</f>
        <v>21519.4275</v>
      </c>
      <c r="AE50" s="93">
        <f>VLOOKUP(16,$A$4:$AX$32,31,FALSE)</f>
        <v>19724.1975</v>
      </c>
      <c r="AF50" s="93">
        <f>VLOOKUP(16,$A$4:$AX$32,32,FALSE)</f>
        <v>22540.5675</v>
      </c>
      <c r="AG50" s="93">
        <f>VLOOKUP(16,$A$4:$AX$32,33,FALSE)</f>
        <v>20505.15</v>
      </c>
      <c r="AH50" s="93">
        <f>VLOOKUP(16,$A$4:$AX$32,34,FALSE)</f>
        <v>19884.78</v>
      </c>
      <c r="AI50" s="93">
        <f>VLOOKUP(16,$A$4:$AX$32,35,FALSE)</f>
        <v>22998.9825</v>
      </c>
    </row>
    <row r="51" spans="1:35" ht="12.75">
      <c r="A51">
        <v>17</v>
      </c>
      <c r="B51" s="78" t="s">
        <v>93</v>
      </c>
      <c r="C51" s="93">
        <f>VLOOKUP(17,$A$4:$AX$32,3,FALSE)</f>
        <v>584.586</v>
      </c>
      <c r="D51" s="93">
        <f>VLOOKUP(17,$A$4:$AX$32,4,FALSE)</f>
        <v>1094.544</v>
      </c>
      <c r="E51" s="93">
        <f>VLOOKUP(17,$A$4:$AX$32,5,FALSE)</f>
        <v>899.682</v>
      </c>
      <c r="F51" s="93">
        <f>VLOOKUP(17,$A$4:$AX$32,6,FALSE)</f>
        <v>1185.756</v>
      </c>
      <c r="G51" s="93">
        <f>VLOOKUP(17,$A$4:$AX$32,7,FALSE)</f>
        <v>1405.494</v>
      </c>
      <c r="H51" s="93">
        <f>VLOOKUP(17,$A$4:$AX$32,8,FALSE)</f>
        <v>1403.421</v>
      </c>
      <c r="I51" s="93">
        <f>VLOOKUP(17,$A$4:$AX$32,9,FALSE)</f>
        <v>1540.239</v>
      </c>
      <c r="J51" s="93">
        <f>VLOOKUP(17,$A$4:$AX$32,10,FALSE)</f>
        <v>1759.977</v>
      </c>
      <c r="K51" s="93">
        <f>VLOOKUP(17,$A$4:$AX$32,11,FALSE)</f>
        <v>1587.918</v>
      </c>
      <c r="L51" s="93">
        <f>VLOOKUP(17,$A$4:$AX$32,12,FALSE)</f>
        <v>1720.59</v>
      </c>
      <c r="M51" s="93">
        <f>VLOOKUP(17,$A$4:$AX$32,13,FALSE)</f>
        <v>2211.891</v>
      </c>
      <c r="N51" s="93">
        <f>VLOOKUP(17,$A$4:$AX$32,14,FALSE)</f>
        <v>1886.43</v>
      </c>
      <c r="O51" s="93">
        <f>VLOOKUP(17,$A$4:$AX$32,15,FALSE)</f>
        <v>2234.694</v>
      </c>
      <c r="P51" s="93">
        <f>VLOOKUP(17,$A$4:$AX$32,16,FALSE)</f>
        <v>2365.293</v>
      </c>
      <c r="Q51" s="93">
        <f>VLOOKUP(17,$A$4:$AX$32,17,FALSE)</f>
        <v>2296.884</v>
      </c>
      <c r="R51" s="93">
        <f>VLOOKUP(17,$A$4:$AX$32,18,FALSE)</f>
        <v>2319.687</v>
      </c>
      <c r="S51" s="93">
        <f>VLOOKUP(17,$A$4:$AX$32,19,FALSE)</f>
        <v>2251.278</v>
      </c>
      <c r="T51" s="93">
        <f>VLOOKUP(17,$A$4:$AX$32,20,FALSE)</f>
        <v>2228.475</v>
      </c>
      <c r="U51" s="93">
        <f>VLOOKUP(17,$A$4:$AX$32,21,FALSE)</f>
        <v>2701.119</v>
      </c>
      <c r="V51" s="93">
        <f>VLOOKUP(17,$A$4:$AX$32,22,FALSE)</f>
        <v>2800.623</v>
      </c>
      <c r="W51" s="93">
        <f>VLOOKUP(17,$A$4:$AX$32,23,FALSE)</f>
        <v>2821.353</v>
      </c>
      <c r="X51" s="93">
        <f>VLOOKUP(17,$A$4:$AX$32,24,FALSE)</f>
        <v>2840.01</v>
      </c>
      <c r="Y51" s="93">
        <f>VLOOKUP(17,$A$4:$AX$32,25,FALSE)</f>
        <v>2763.309</v>
      </c>
      <c r="Z51" s="93">
        <f>VLOOKUP(17,$A$4:$AX$32,26,FALSE)</f>
        <v>2643.075</v>
      </c>
      <c r="AA51" s="93">
        <f>VLOOKUP(17,$A$4:$AX$32,27,FALSE)</f>
        <v>3132.303</v>
      </c>
      <c r="AB51" s="93">
        <f>VLOOKUP(17,$A$4:$AX$32,28,FALSE)</f>
        <v>3341.676</v>
      </c>
      <c r="AC51" s="93">
        <f>VLOOKUP(17,$A$4:$AX$32,29,FALSE)</f>
        <v>2933.295</v>
      </c>
      <c r="AD51" s="93">
        <f>VLOOKUP(17,$A$4:$AX$32,30,FALSE)</f>
        <v>3806.028</v>
      </c>
      <c r="AE51" s="93">
        <f>VLOOKUP(17,$A$4:$AX$32,31,FALSE)</f>
        <v>3153.033</v>
      </c>
      <c r="AF51" s="93">
        <f>VLOOKUP(17,$A$4:$AX$32,32,FALSE)</f>
        <v>4042.35</v>
      </c>
      <c r="AG51" s="93">
        <f>VLOOKUP(17,$A$4:$AX$32,33,FALSE)</f>
        <v>3493.005</v>
      </c>
      <c r="AH51" s="93">
        <f>VLOOKUP(17,$A$4:$AX$32,34,FALSE)</f>
        <v>3797.736</v>
      </c>
      <c r="AI51" s="93">
        <f>VLOOKUP(17,$A$4:$AX$32,35,FALSE)</f>
        <v>4172.949</v>
      </c>
    </row>
    <row r="52" spans="1:35" ht="12.75">
      <c r="A52">
        <v>18</v>
      </c>
      <c r="B52" s="78" t="s">
        <v>94</v>
      </c>
      <c r="C52" s="93">
        <f>VLOOKUP(18,$A$4:$AX$32,3,FALSE)</f>
        <v>0</v>
      </c>
      <c r="D52" s="93">
        <f>VLOOKUP(18,$A$4:$AX$32,4,FALSE)</f>
        <v>0</v>
      </c>
      <c r="E52" s="93">
        <f>VLOOKUP(18,$A$4:$AX$32,5,FALSE)</f>
        <v>0</v>
      </c>
      <c r="F52" s="93">
        <f>VLOOKUP(18,$A$4:$AX$32,6,FALSE)</f>
        <v>0</v>
      </c>
      <c r="G52" s="93">
        <f>VLOOKUP(18,$A$4:$AX$32,7,FALSE)</f>
        <v>0</v>
      </c>
      <c r="H52" s="93">
        <f>VLOOKUP(18,$A$4:$AX$32,8,FALSE)</f>
        <v>0</v>
      </c>
      <c r="I52" s="93">
        <f>VLOOKUP(18,$A$4:$AX$32,9,FALSE)</f>
        <v>0</v>
      </c>
      <c r="J52" s="93">
        <f>VLOOKUP(18,$A$4:$AX$32,10,FALSE)</f>
        <v>0</v>
      </c>
      <c r="K52" s="93">
        <f>VLOOKUP(18,$A$4:$AX$32,11,FALSE)</f>
        <v>1053.3185</v>
      </c>
      <c r="L52" s="93">
        <f>VLOOKUP(18,$A$4:$AX$32,12,FALSE)</f>
        <v>2810.353</v>
      </c>
      <c r="M52" s="93">
        <f>VLOOKUP(18,$A$4:$AX$32,13,FALSE)</f>
        <v>6428.175</v>
      </c>
      <c r="N52" s="93">
        <f>VLOOKUP(18,$A$4:$AX$32,14,FALSE)</f>
        <v>7925.827</v>
      </c>
      <c r="O52" s="93">
        <f>VLOOKUP(18,$A$4:$AX$32,15,FALSE)</f>
        <v>10666.2595</v>
      </c>
      <c r="P52" s="93">
        <f>VLOOKUP(18,$A$4:$AX$32,16,FALSE)</f>
        <v>11875.2075</v>
      </c>
      <c r="Q52" s="93">
        <f>VLOOKUP(18,$A$4:$AX$32,17,FALSE)</f>
        <v>12227.0655</v>
      </c>
      <c r="R52" s="93">
        <f>VLOOKUP(18,$A$4:$AX$32,18,FALSE)</f>
        <v>13528.489</v>
      </c>
      <c r="S52" s="93">
        <f>VLOOKUP(18,$A$4:$AX$32,19,FALSE)</f>
        <v>15366.7215</v>
      </c>
      <c r="T52" s="93">
        <f>VLOOKUP(18,$A$4:$AX$32,20,FALSE)</f>
        <v>16156.1465</v>
      </c>
      <c r="U52" s="93">
        <f>VLOOKUP(18,$A$4:$AX$32,21,FALSE)</f>
        <v>16812.497</v>
      </c>
      <c r="V52" s="93">
        <f>VLOOKUP(18,$A$4:$AX$32,22,FALSE)</f>
        <v>18707.117</v>
      </c>
      <c r="W52" s="93">
        <f>VLOOKUP(18,$A$4:$AX$32,23,FALSE)</f>
        <v>19519.097</v>
      </c>
      <c r="X52" s="93">
        <f>VLOOKUP(18,$A$4:$AX$32,24,FALSE)</f>
        <v>20069.439</v>
      </c>
      <c r="Y52" s="93">
        <f>VLOOKUP(18,$A$4:$AX$32,25,FALSE)</f>
        <v>22236.9745</v>
      </c>
      <c r="Z52" s="93">
        <f>VLOOKUP(18,$A$4:$AX$32,26,FALSE)</f>
        <v>19764.9465</v>
      </c>
      <c r="AA52" s="93">
        <f>VLOOKUP(18,$A$4:$AX$32,27,FALSE)</f>
        <v>22469.291</v>
      </c>
      <c r="AB52" s="93">
        <f>VLOOKUP(18,$A$4:$AX$32,28,FALSE)</f>
        <v>23554.1865</v>
      </c>
      <c r="AC52" s="93">
        <f>VLOOKUP(18,$A$4:$AX$32,29,FALSE)</f>
        <v>21934.7375</v>
      </c>
      <c r="AD52" s="93">
        <f>VLOOKUP(18,$A$4:$AX$32,30,FALSE)</f>
        <v>23680.4945</v>
      </c>
      <c r="AE52" s="93">
        <f>VLOOKUP(18,$A$4:$AX$32,31,FALSE)</f>
        <v>21761.064</v>
      </c>
      <c r="AF52" s="93">
        <f>VLOOKUP(18,$A$4:$AX$32,32,FALSE)</f>
        <v>24900.72</v>
      </c>
      <c r="AG52" s="93">
        <f>VLOOKUP(18,$A$4:$AX$32,33,FALSE)</f>
        <v>23355.7025</v>
      </c>
      <c r="AH52" s="93">
        <f>VLOOKUP(18,$A$4:$AX$32,34,FALSE)</f>
        <v>21332.519</v>
      </c>
      <c r="AI52" s="93">
        <f>VLOOKUP(18,$A$4:$AX$32,35,FALSE)</f>
        <v>25121.759</v>
      </c>
    </row>
    <row r="53" spans="1:35" ht="12.75">
      <c r="A53">
        <v>19</v>
      </c>
      <c r="B53" s="78" t="s">
        <v>95</v>
      </c>
      <c r="C53" s="93">
        <f>VLOOKUP(19,$A$4:$AX$32,3,FALSE)</f>
        <v>0</v>
      </c>
      <c r="D53" s="93">
        <f>VLOOKUP(19,$A$4:$AX$32,4,FALSE)</f>
        <v>0</v>
      </c>
      <c r="E53" s="93">
        <f>VLOOKUP(19,$A$4:$AX$32,5,FALSE)</f>
        <v>0</v>
      </c>
      <c r="F53" s="93">
        <f>VLOOKUP(19,$A$4:$AX$32,6,FALSE)</f>
        <v>0</v>
      </c>
      <c r="G53" s="93">
        <f>VLOOKUP(19,$A$4:$AX$32,7,FALSE)</f>
        <v>0</v>
      </c>
      <c r="H53" s="93">
        <f>VLOOKUP(19,$A$4:$AX$32,8,FALSE)</f>
        <v>0</v>
      </c>
      <c r="I53" s="93">
        <f>VLOOKUP(19,$A$4:$AX$32,9,FALSE)</f>
        <v>0</v>
      </c>
      <c r="J53" s="93">
        <f>VLOOKUP(19,$A$4:$AX$32,10,FALSE)</f>
        <v>0</v>
      </c>
      <c r="K53" s="93">
        <f>VLOOKUP(19,$A$4:$AX$32,11,FALSE)</f>
        <v>0</v>
      </c>
      <c r="L53" s="93">
        <f>VLOOKUP(19,$A$4:$AX$32,12,FALSE)</f>
        <v>0</v>
      </c>
      <c r="M53" s="93">
        <f>VLOOKUP(19,$A$4:$AX$32,13,FALSE)</f>
        <v>0</v>
      </c>
      <c r="N53" s="93">
        <f>VLOOKUP(19,$A$4:$AX$32,14,FALSE)</f>
        <v>0</v>
      </c>
      <c r="O53" s="93">
        <f>VLOOKUP(19,$A$4:$AX$32,15,FALSE)</f>
        <v>0</v>
      </c>
      <c r="P53" s="93">
        <f>VLOOKUP(19,$A$4:$AX$32,16,FALSE)</f>
        <v>0</v>
      </c>
      <c r="Q53" s="93">
        <f>VLOOKUP(19,$A$4:$AX$32,17,FALSE)</f>
        <v>0</v>
      </c>
      <c r="R53" s="93">
        <f>VLOOKUP(19,$A$4:$AX$32,18,FALSE)</f>
        <v>0</v>
      </c>
      <c r="S53" s="93">
        <f>VLOOKUP(19,$A$4:$AX$32,19,FALSE)</f>
        <v>0</v>
      </c>
      <c r="T53" s="93">
        <f>VLOOKUP(19,$A$4:$AX$32,20,FALSE)</f>
        <v>0</v>
      </c>
      <c r="U53" s="93">
        <f>VLOOKUP(19,$A$4:$AX$32,21,FALSE)</f>
        <v>0</v>
      </c>
      <c r="V53" s="93">
        <f>VLOOKUP(19,$A$4:$AX$32,22,FALSE)</f>
        <v>0</v>
      </c>
      <c r="W53" s="93">
        <f>VLOOKUP(19,$A$4:$AX$32,23,FALSE)</f>
        <v>501.105</v>
      </c>
      <c r="X53" s="93">
        <f>VLOOKUP(19,$A$4:$AX$32,24,FALSE)</f>
        <v>2110.715</v>
      </c>
      <c r="Y53" s="93">
        <f>VLOOKUP(19,$A$4:$AX$32,25,FALSE)</f>
        <v>5074.827</v>
      </c>
      <c r="Z53" s="93">
        <f>VLOOKUP(19,$A$4:$AX$32,26,FALSE)</f>
        <v>5706.523</v>
      </c>
      <c r="AA53" s="93">
        <f>VLOOKUP(19,$A$4:$AX$32,27,FALSE)</f>
        <v>9235.517</v>
      </c>
      <c r="AB53" s="93">
        <f>VLOOKUP(19,$A$4:$AX$32,28,FALSE)</f>
        <v>9845.954</v>
      </c>
      <c r="AC53" s="93">
        <f>VLOOKUP(19,$A$4:$AX$32,29,FALSE)</f>
        <v>9760.918</v>
      </c>
      <c r="AD53" s="93">
        <f>VLOOKUP(19,$A$4:$AX$32,30,FALSE)</f>
        <v>11042.532</v>
      </c>
      <c r="AE53" s="93">
        <f>VLOOKUP(19,$A$4:$AX$32,31,FALSE)</f>
        <v>12041.705</v>
      </c>
      <c r="AF53" s="93">
        <f>VLOOKUP(19,$A$4:$AX$32,32,FALSE)</f>
        <v>12500.292</v>
      </c>
      <c r="AG53" s="93">
        <f>VLOOKUP(19,$A$4:$AX$32,33,FALSE)</f>
        <v>11656.006</v>
      </c>
      <c r="AH53" s="93">
        <f>VLOOKUP(19,$A$4:$AX$32,34,FALSE)</f>
        <v>12384.886</v>
      </c>
      <c r="AI53" s="93">
        <f>VLOOKUP(19,$A$4:$AX$32,35,FALSE)</f>
        <v>15965.509</v>
      </c>
    </row>
    <row r="54" spans="1:35" ht="12.75">
      <c r="A54">
        <v>20</v>
      </c>
      <c r="B54" s="78" t="s">
        <v>96</v>
      </c>
      <c r="C54" s="93">
        <f>VLOOKUP(20,$A$4:$AX$32,3,FALSE)</f>
        <v>0</v>
      </c>
      <c r="D54" s="93">
        <f>VLOOKUP(20,$A$4:$AX$32,4,FALSE)</f>
        <v>0</v>
      </c>
      <c r="E54" s="93">
        <f>VLOOKUP(20,$A$4:$AX$32,5,FALSE)</f>
        <v>0</v>
      </c>
      <c r="F54" s="93">
        <f>VLOOKUP(20,$A$4:$AX$32,6,FALSE)</f>
        <v>0</v>
      </c>
      <c r="G54" s="93">
        <f>VLOOKUP(20,$A$4:$AX$32,7,FALSE)</f>
        <v>0</v>
      </c>
      <c r="H54" s="93">
        <f>VLOOKUP(20,$A$4:$AX$32,8,FALSE)</f>
        <v>0</v>
      </c>
      <c r="I54" s="93">
        <f>VLOOKUP(20,$A$4:$AX$32,9,FALSE)</f>
        <v>0</v>
      </c>
      <c r="J54" s="93">
        <f>VLOOKUP(20,$A$4:$AX$32,10,FALSE)</f>
        <v>0</v>
      </c>
      <c r="K54" s="93">
        <f>VLOOKUP(20,$A$4:$AX$32,11,FALSE)</f>
        <v>0</v>
      </c>
      <c r="L54" s="93">
        <f>VLOOKUP(20,$A$4:$AX$32,12,FALSE)</f>
        <v>0</v>
      </c>
      <c r="M54" s="93">
        <f>VLOOKUP(20,$A$4:$AX$32,13,FALSE)</f>
        <v>0</v>
      </c>
      <c r="N54" s="93">
        <f>VLOOKUP(20,$A$4:$AX$32,14,FALSE)</f>
        <v>0</v>
      </c>
      <c r="O54" s="93">
        <f>VLOOKUP(20,$A$4:$AX$32,15,FALSE)</f>
        <v>0</v>
      </c>
      <c r="P54" s="93">
        <f>VLOOKUP(20,$A$4:$AX$32,16,FALSE)</f>
        <v>0</v>
      </c>
      <c r="Q54" s="93">
        <f>VLOOKUP(20,$A$4:$AX$32,17,FALSE)</f>
        <v>0</v>
      </c>
      <c r="R54" s="93">
        <f>VLOOKUP(20,$A$4:$AX$32,18,FALSE)</f>
        <v>0</v>
      </c>
      <c r="S54" s="93">
        <f>VLOOKUP(20,$A$4:$AX$32,19,FALSE)</f>
        <v>0</v>
      </c>
      <c r="T54" s="93">
        <f>VLOOKUP(20,$A$4:$AX$32,20,FALSE)</f>
        <v>0</v>
      </c>
      <c r="U54" s="93">
        <f>VLOOKUP(20,$A$4:$AX$32,21,FALSE)</f>
        <v>0</v>
      </c>
      <c r="V54" s="93">
        <f>VLOOKUP(20,$A$4:$AX$32,22,FALSE)</f>
        <v>0</v>
      </c>
      <c r="W54" s="93">
        <f>VLOOKUP(20,$A$4:$AX$32,23,FALSE)</f>
        <v>0</v>
      </c>
      <c r="X54" s="93">
        <f>VLOOKUP(20,$A$4:$AX$32,24,FALSE)</f>
        <v>1083.36</v>
      </c>
      <c r="Y54" s="93">
        <f>VLOOKUP(20,$A$4:$AX$32,25,FALSE)</f>
        <v>2539.68</v>
      </c>
      <c r="Z54" s="93">
        <f>VLOOKUP(20,$A$4:$AX$32,26,FALSE)</f>
        <v>2397.6</v>
      </c>
      <c r="AA54" s="93">
        <f>VLOOKUP(20,$A$4:$AX$32,27,FALSE)</f>
        <v>4937.28</v>
      </c>
      <c r="AB54" s="93">
        <f>VLOOKUP(20,$A$4:$AX$32,28,FALSE)</f>
        <v>4812.96</v>
      </c>
      <c r="AC54" s="93">
        <f>VLOOKUP(20,$A$4:$AX$32,29,FALSE)</f>
        <v>5288.928</v>
      </c>
      <c r="AD54" s="93">
        <f>VLOOKUP(20,$A$4:$AX$32,30,FALSE)</f>
        <v>6038.4</v>
      </c>
      <c r="AE54" s="93">
        <f>VLOOKUP(20,$A$4:$AX$32,31,FALSE)</f>
        <v>5995.776</v>
      </c>
      <c r="AF54" s="93">
        <f>VLOOKUP(20,$A$4:$AX$32,32,FALSE)</f>
        <v>7359.744</v>
      </c>
      <c r="AG54" s="93">
        <f>VLOOKUP(20,$A$4:$AX$32,33,FALSE)</f>
        <v>7594.176</v>
      </c>
      <c r="AH54" s="93">
        <f>VLOOKUP(20,$A$4:$AX$32,34,FALSE)</f>
        <v>7590.624</v>
      </c>
      <c r="AI54" s="93">
        <f>VLOOKUP(20,$A$4:$AX$32,35,FALSE)</f>
        <v>8336.544</v>
      </c>
    </row>
    <row r="55" spans="1:35" ht="12.75">
      <c r="A55">
        <v>21</v>
      </c>
      <c r="B55" s="78" t="s">
        <v>97</v>
      </c>
      <c r="C55" s="93">
        <f>VLOOKUP(21,$A$4:$AX$32,3,FALSE)</f>
        <v>424.274</v>
      </c>
      <c r="D55" s="93">
        <f>VLOOKUP(21,$A$4:$AX$32,4,FALSE)</f>
        <v>379.452</v>
      </c>
      <c r="E55" s="93">
        <f>VLOOKUP(21,$A$4:$AX$32,5,FALSE)</f>
        <v>403.398</v>
      </c>
      <c r="F55" s="93">
        <f>VLOOKUP(21,$A$4:$AX$32,6,FALSE)</f>
        <v>354.892</v>
      </c>
      <c r="G55" s="93">
        <f>VLOOKUP(21,$A$4:$AX$32,7,FALSE)</f>
        <v>343.226</v>
      </c>
      <c r="H55" s="93">
        <f>VLOOKUP(21,$A$4:$AX$32,8,FALSE)</f>
        <v>366.558</v>
      </c>
      <c r="I55" s="93">
        <f>VLOOKUP(21,$A$4:$AX$32,9,FALSE)</f>
        <v>354.892</v>
      </c>
      <c r="J55" s="93">
        <f>VLOOKUP(21,$A$4:$AX$32,10,FALSE)</f>
        <v>390.504</v>
      </c>
      <c r="K55" s="93">
        <f>VLOOKUP(21,$A$4:$AX$32,11,FALSE)</f>
        <v>363.488</v>
      </c>
      <c r="L55" s="93">
        <f>VLOOKUP(21,$A$4:$AX$32,12,FALSE)</f>
        <v>326.648</v>
      </c>
      <c r="M55" s="93">
        <f>VLOOKUP(21,$A$4:$AX$32,13,FALSE)</f>
        <v>464.798</v>
      </c>
      <c r="N55" s="93">
        <f>VLOOKUP(21,$A$4:$AX$32,14,FALSE)</f>
        <v>378.838</v>
      </c>
      <c r="O55" s="93">
        <f>VLOOKUP(21,$A$4:$AX$32,15,FALSE)</f>
        <v>415.064</v>
      </c>
      <c r="P55" s="93">
        <f>VLOOKUP(21,$A$4:$AX$32,16,FALSE)</f>
        <v>388.048</v>
      </c>
      <c r="Q55" s="93">
        <f>VLOOKUP(21,$A$4:$AX$32,17,FALSE)</f>
        <v>411.994</v>
      </c>
      <c r="R55" s="93">
        <f>VLOOKUP(21,$A$4:$AX$32,18,FALSE)</f>
        <v>485.674</v>
      </c>
      <c r="S55" s="93">
        <f>VLOOKUP(21,$A$4:$AX$32,19,FALSE)</f>
        <v>399.714</v>
      </c>
      <c r="T55" s="93">
        <f>VLOOKUP(21,$A$4:$AX$32,20,FALSE)</f>
        <v>472.166</v>
      </c>
      <c r="U55" s="93">
        <f>VLOOKUP(21,$A$4:$AX$32,21,FALSE)</f>
        <v>399.714</v>
      </c>
      <c r="V55" s="93">
        <f>VLOOKUP(21,$A$4:$AX$32,22,FALSE)</f>
        <v>451.904</v>
      </c>
      <c r="W55" s="93">
        <f>VLOOKUP(21,$A$4:$AX$32,23,FALSE)</f>
        <v>516.374</v>
      </c>
      <c r="X55" s="93">
        <f>VLOOKUP(21,$A$4:$AX$32,24,FALSE)</f>
        <v>375.154</v>
      </c>
      <c r="Y55" s="93">
        <f>VLOOKUP(21,$A$4:$AX$32,25,FALSE)</f>
        <v>431.642</v>
      </c>
      <c r="Z55" s="93">
        <f>VLOOKUP(21,$A$4:$AX$32,26,FALSE)</f>
        <v>395.416</v>
      </c>
      <c r="AA55" s="93">
        <f>VLOOKUP(21,$A$4:$AX$32,27,FALSE)</f>
        <v>407.696</v>
      </c>
      <c r="AB55" s="93">
        <f>VLOOKUP(21,$A$4:$AX$32,28,FALSE)</f>
        <v>500.41</v>
      </c>
      <c r="AC55" s="93">
        <f>VLOOKUP(21,$A$4:$AX$32,29,FALSE)</f>
        <v>379.452</v>
      </c>
      <c r="AD55" s="93">
        <f>VLOOKUP(21,$A$4:$AX$32,30,FALSE)</f>
        <v>491.814</v>
      </c>
      <c r="AE55" s="93">
        <f>VLOOKUP(21,$A$4:$AX$32,31,FALSE)</f>
        <v>418.748</v>
      </c>
      <c r="AF55" s="93">
        <f>VLOOKUP(21,$A$4:$AX$32,32,FALSE)</f>
        <v>536.636</v>
      </c>
      <c r="AG55" s="93">
        <f>VLOOKUP(21,$A$4:$AX$32,33,FALSE)</f>
        <v>507.778</v>
      </c>
      <c r="AH55" s="93">
        <f>VLOOKUP(21,$A$4:$AX$32,34,FALSE)</f>
        <v>423.66</v>
      </c>
      <c r="AI55" s="93">
        <f>VLOOKUP(21,$A$4:$AX$32,35,FALSE)</f>
        <v>531.11</v>
      </c>
    </row>
    <row r="56" spans="1:35" ht="25.5">
      <c r="A56">
        <v>22</v>
      </c>
      <c r="B56" s="78" t="s">
        <v>98</v>
      </c>
      <c r="C56" s="93">
        <f>VLOOKUP(22,$A$4:$AX$32,3,FALSE)</f>
        <v>1546.0595</v>
      </c>
      <c r="D56" s="93">
        <f>VLOOKUP(22,$A$4:$AX$32,4,FALSE)</f>
        <v>2038.9495</v>
      </c>
      <c r="E56" s="93">
        <f>VLOOKUP(22,$A$4:$AX$32,5,FALSE)</f>
        <v>2019.6985</v>
      </c>
      <c r="F56" s="93">
        <f>VLOOKUP(22,$A$4:$AX$32,6,FALSE)</f>
        <v>1812.6715</v>
      </c>
      <c r="G56" s="93">
        <f>VLOOKUP(22,$A$4:$AX$32,7,FALSE)</f>
        <v>1917.1465</v>
      </c>
      <c r="H56" s="93">
        <f>VLOOKUP(22,$A$4:$AX$32,8,FALSE)</f>
        <v>1538.1915</v>
      </c>
      <c r="I56" s="93">
        <f>VLOOKUP(22,$A$4:$AX$32,9,FALSE)</f>
        <v>1930.997</v>
      </c>
      <c r="J56" s="93">
        <f>VLOOKUP(22,$A$4:$AX$32,10,FALSE)</f>
        <v>1908.2555</v>
      </c>
      <c r="K56" s="93">
        <f>VLOOKUP(22,$A$4:$AX$32,11,FALSE)</f>
        <v>1832.5685</v>
      </c>
      <c r="L56" s="93">
        <f>VLOOKUP(22,$A$4:$AX$32,12,FALSE)</f>
        <v>1726.874</v>
      </c>
      <c r="M56" s="93">
        <f>VLOOKUP(22,$A$4:$AX$32,13,FALSE)</f>
        <v>2011.071</v>
      </c>
      <c r="N56" s="93">
        <f>VLOOKUP(22,$A$4:$AX$32,14,FALSE)</f>
        <v>1808.658</v>
      </c>
      <c r="O56" s="93">
        <f>VLOOKUP(22,$A$4:$AX$32,15,FALSE)</f>
        <v>1914.699</v>
      </c>
      <c r="P56" s="93">
        <f>VLOOKUP(22,$A$4:$AX$32,16,FALSE)</f>
        <v>1706.9475</v>
      </c>
      <c r="Q56" s="93">
        <f>VLOOKUP(22,$A$4:$AX$32,17,FALSE)</f>
        <v>1646.1355</v>
      </c>
      <c r="R56" s="93">
        <f>VLOOKUP(22,$A$4:$AX$32,18,FALSE)</f>
        <v>1730.7465</v>
      </c>
      <c r="S56" s="93">
        <f>VLOOKUP(22,$A$4:$AX$32,19,FALSE)</f>
        <v>1781.037</v>
      </c>
      <c r="T56" s="93">
        <f>VLOOKUP(22,$A$4:$AX$32,20,FALSE)</f>
        <v>1754.807</v>
      </c>
      <c r="U56" s="93">
        <f>VLOOKUP(22,$A$4:$AX$32,21,FALSE)</f>
        <v>1858.208</v>
      </c>
      <c r="V56" s="93">
        <f>VLOOKUP(22,$A$4:$AX$32,22,FALSE)</f>
        <v>1789.037</v>
      </c>
      <c r="W56" s="93">
        <f>VLOOKUP(22,$A$4:$AX$32,23,FALSE)</f>
        <v>1694.8495</v>
      </c>
      <c r="X56" s="93">
        <f>VLOOKUP(22,$A$4:$AX$32,24,FALSE)</f>
        <v>1625.514</v>
      </c>
      <c r="Y56" s="93">
        <f>VLOOKUP(22,$A$4:$AX$32,25,FALSE)</f>
        <v>1802.766</v>
      </c>
      <c r="Z56" s="93">
        <f>VLOOKUP(22,$A$4:$AX$32,26,FALSE)</f>
        <v>1439.909</v>
      </c>
      <c r="AA56" s="93">
        <f>VLOOKUP(22,$A$4:$AX$32,27,FALSE)</f>
        <v>1736.3975</v>
      </c>
      <c r="AB56" s="93">
        <f>VLOOKUP(22,$A$4:$AX$32,28,FALSE)</f>
        <v>1606.9455</v>
      </c>
      <c r="AC56" s="93">
        <f>VLOOKUP(22,$A$4:$AX$32,29,FALSE)</f>
        <v>1593.5735</v>
      </c>
      <c r="AD56" s="93">
        <f>VLOOKUP(22,$A$4:$AX$32,30,FALSE)</f>
        <v>1570.3635</v>
      </c>
      <c r="AE56" s="93">
        <f>VLOOKUP(22,$A$4:$AX$32,31,FALSE)</f>
        <v>1530.52</v>
      </c>
      <c r="AF56" s="93">
        <f>VLOOKUP(22,$A$4:$AX$32,32,FALSE)</f>
        <v>1563.2775</v>
      </c>
      <c r="AG56" s="93">
        <f>VLOOKUP(22,$A$4:$AX$32,33,FALSE)</f>
        <v>1543.565</v>
      </c>
      <c r="AH56" s="93">
        <f>VLOOKUP(22,$A$4:$AX$32,34,FALSE)</f>
        <v>1033.377</v>
      </c>
      <c r="AI56" s="93">
        <f>VLOOKUP(22,$A$4:$AX$32,35,FALSE)</f>
        <v>1182.328</v>
      </c>
    </row>
    <row r="57" spans="1:35" ht="25.5">
      <c r="A57">
        <v>23</v>
      </c>
      <c r="B57" s="78" t="s">
        <v>99</v>
      </c>
      <c r="C57" s="93">
        <f>VLOOKUP(23,$A$4:$AX$32,3,FALSE)</f>
        <v>163.783</v>
      </c>
      <c r="D57" s="93">
        <f>VLOOKUP(23,$A$4:$AX$32,4,FALSE)</f>
        <v>238.855</v>
      </c>
      <c r="E57" s="93">
        <f>VLOOKUP(23,$A$4:$AX$32,5,FALSE)</f>
        <v>236.9</v>
      </c>
      <c r="F57" s="93">
        <f>VLOOKUP(23,$A$4:$AX$32,6,FALSE)</f>
        <v>193.039</v>
      </c>
      <c r="G57" s="93">
        <f>VLOOKUP(23,$A$4:$AX$32,7,FALSE)</f>
        <v>197.409</v>
      </c>
      <c r="H57" s="93">
        <f>VLOOKUP(23,$A$4:$AX$32,8,FALSE)</f>
        <v>187.3925</v>
      </c>
      <c r="I57" s="93">
        <f>VLOOKUP(23,$A$4:$AX$32,9,FALSE)</f>
        <v>194.3385</v>
      </c>
      <c r="J57" s="93">
        <f>VLOOKUP(23,$A$4:$AX$32,10,FALSE)</f>
        <v>186.484</v>
      </c>
      <c r="K57" s="93">
        <f>VLOOKUP(23,$A$4:$AX$32,11,FALSE)</f>
        <v>187.611</v>
      </c>
      <c r="L57" s="93">
        <f>VLOOKUP(23,$A$4:$AX$32,12,FALSE)</f>
        <v>187.4385</v>
      </c>
      <c r="M57" s="93">
        <f>VLOOKUP(23,$A$4:$AX$32,13,FALSE)</f>
        <v>222.456</v>
      </c>
      <c r="N57" s="93">
        <f>VLOOKUP(23,$A$4:$AX$32,14,FALSE)</f>
        <v>188.577</v>
      </c>
      <c r="O57" s="93">
        <f>VLOOKUP(23,$A$4:$AX$32,15,FALSE)</f>
        <v>220.9265</v>
      </c>
      <c r="P57" s="93">
        <f>VLOOKUP(23,$A$4:$AX$32,16,FALSE)</f>
        <v>211.0825</v>
      </c>
      <c r="Q57" s="93">
        <f>VLOOKUP(23,$A$4:$AX$32,17,FALSE)</f>
        <v>169.5445</v>
      </c>
      <c r="R57" s="93">
        <f>VLOOKUP(23,$A$4:$AX$32,18,FALSE)</f>
        <v>194.419</v>
      </c>
      <c r="S57" s="93">
        <f>VLOOKUP(23,$A$4:$AX$32,19,FALSE)</f>
        <v>216.9475</v>
      </c>
      <c r="T57" s="93">
        <f>VLOOKUP(23,$A$4:$AX$32,20,FALSE)</f>
        <v>201.756</v>
      </c>
      <c r="U57" s="93">
        <f>VLOOKUP(23,$A$4:$AX$32,21,FALSE)</f>
        <v>200.2035</v>
      </c>
      <c r="V57" s="93">
        <f>VLOOKUP(23,$A$4:$AX$32,22,FALSE)</f>
        <v>239.8555</v>
      </c>
      <c r="W57" s="93">
        <f>VLOOKUP(23,$A$4:$AX$32,23,FALSE)</f>
        <v>233.128</v>
      </c>
      <c r="X57" s="93">
        <f>VLOOKUP(23,$A$4:$AX$32,24,FALSE)</f>
        <v>202.6185</v>
      </c>
      <c r="Y57" s="93">
        <f>VLOOKUP(23,$A$4:$AX$32,25,FALSE)</f>
        <v>205.643</v>
      </c>
      <c r="Z57" s="93">
        <f>VLOOKUP(23,$A$4:$AX$32,26,FALSE)</f>
        <v>194.902</v>
      </c>
      <c r="AA57" s="93">
        <f>VLOOKUP(23,$A$4:$AX$32,27,FALSE)</f>
        <v>200.33</v>
      </c>
      <c r="AB57" s="93">
        <f>VLOOKUP(23,$A$4:$AX$32,28,FALSE)</f>
        <v>196.144</v>
      </c>
      <c r="AC57" s="93">
        <f>VLOOKUP(23,$A$4:$AX$32,29,FALSE)</f>
        <v>215.832</v>
      </c>
      <c r="AD57" s="93">
        <f>VLOOKUP(23,$A$4:$AX$32,30,FALSE)</f>
        <v>224.2385</v>
      </c>
      <c r="AE57" s="93">
        <f>VLOOKUP(23,$A$4:$AX$32,31,FALSE)</f>
        <v>183.7585</v>
      </c>
      <c r="AF57" s="93">
        <f>VLOOKUP(23,$A$4:$AX$32,32,FALSE)</f>
        <v>236.325</v>
      </c>
      <c r="AG57" s="93">
        <f>VLOOKUP(23,$A$4:$AX$32,33,FALSE)</f>
        <v>173.7535</v>
      </c>
      <c r="AH57" s="93">
        <f>VLOOKUP(23,$A$4:$AX$32,34,FALSE)</f>
        <v>221.6395</v>
      </c>
      <c r="AI57" s="93">
        <f>VLOOKUP(23,$A$4:$AX$32,35,FALSE)</f>
        <v>198.053</v>
      </c>
    </row>
    <row r="58" spans="1:35" ht="25.5">
      <c r="A58">
        <v>24</v>
      </c>
      <c r="B58" s="78" t="s">
        <v>100</v>
      </c>
      <c r="C58" s="93">
        <f>VLOOKUP(24,$A$4:$AX$32,3,FALSE)</f>
        <v>251.419</v>
      </c>
      <c r="D58" s="93">
        <f>VLOOKUP(24,$A$4:$AX$32,4,FALSE)</f>
        <v>277.83</v>
      </c>
      <c r="E58" s="93">
        <f>VLOOKUP(24,$A$4:$AX$32,5,FALSE)</f>
        <v>233.583</v>
      </c>
      <c r="F58" s="93">
        <f>VLOOKUP(24,$A$4:$AX$32,6,FALSE)</f>
        <v>228.781</v>
      </c>
      <c r="G58" s="93">
        <f>VLOOKUP(24,$A$4:$AX$32,7,FALSE)</f>
        <v>242.158</v>
      </c>
      <c r="H58" s="93">
        <f>VLOOKUP(24,$A$4:$AX$32,8,FALSE)</f>
        <v>231.182</v>
      </c>
      <c r="I58" s="93">
        <f>VLOOKUP(24,$A$4:$AX$32,9,FALSE)</f>
        <v>221.921</v>
      </c>
      <c r="J58" s="93">
        <f>VLOOKUP(24,$A$4:$AX$32,10,FALSE)</f>
        <v>204.085</v>
      </c>
      <c r="K58" s="93">
        <f>VLOOKUP(24,$A$4:$AX$32,11,FALSE)</f>
        <v>265.139</v>
      </c>
      <c r="L58" s="93">
        <f>VLOOKUP(24,$A$4:$AX$32,12,FALSE)</f>
        <v>213.003</v>
      </c>
      <c r="M58" s="93">
        <f>VLOOKUP(24,$A$4:$AX$32,13,FALSE)</f>
        <v>233.926</v>
      </c>
      <c r="N58" s="93">
        <f>VLOOKUP(24,$A$4:$AX$32,14,FALSE)</f>
        <v>231.525</v>
      </c>
      <c r="O58" s="93">
        <f>VLOOKUP(24,$A$4:$AX$32,15,FALSE)</f>
        <v>201.684</v>
      </c>
      <c r="P58" s="93">
        <f>VLOOKUP(24,$A$4:$AX$32,16,FALSE)</f>
        <v>190.708</v>
      </c>
      <c r="Q58" s="93">
        <f>VLOOKUP(24,$A$4:$AX$32,17,FALSE)</f>
        <v>200.312</v>
      </c>
      <c r="R58" s="93">
        <f>VLOOKUP(24,$A$4:$AX$32,18,FALSE)</f>
        <v>197.225</v>
      </c>
      <c r="S58" s="93">
        <f>VLOOKUP(24,$A$4:$AX$32,19,FALSE)</f>
        <v>213.346</v>
      </c>
      <c r="T58" s="93">
        <f>VLOOKUP(24,$A$4:$AX$32,20,FALSE)</f>
        <v>219.863</v>
      </c>
      <c r="U58" s="93">
        <f>VLOOKUP(24,$A$4:$AX$32,21,FALSE)</f>
        <v>231.182</v>
      </c>
      <c r="V58" s="93">
        <f>VLOOKUP(24,$A$4:$AX$32,22,FALSE)</f>
        <v>240.443</v>
      </c>
      <c r="W58" s="93">
        <f>VLOOKUP(24,$A$4:$AX$32,23,FALSE)</f>
        <v>235.641</v>
      </c>
      <c r="X58" s="93">
        <f>VLOOKUP(24,$A$4:$AX$32,24,FALSE)</f>
        <v>202.37</v>
      </c>
      <c r="Y58" s="93">
        <f>VLOOKUP(24,$A$4:$AX$32,25,FALSE)</f>
        <v>224.665</v>
      </c>
      <c r="Z58" s="93">
        <f>VLOOKUP(24,$A$4:$AX$32,26,FALSE)</f>
        <v>166.012</v>
      </c>
      <c r="AA58" s="93">
        <f>VLOOKUP(24,$A$4:$AX$32,27,FALSE)</f>
        <v>249.704</v>
      </c>
      <c r="AB58" s="93">
        <f>VLOOKUP(24,$A$4:$AX$32,28,FALSE)</f>
        <v>211.288</v>
      </c>
      <c r="AC58" s="93">
        <f>VLOOKUP(24,$A$4:$AX$32,29,FALSE)</f>
        <v>238.385</v>
      </c>
      <c r="AD58" s="93">
        <f>VLOOKUP(24,$A$4:$AX$32,30,FALSE)</f>
        <v>240.786</v>
      </c>
      <c r="AE58" s="93">
        <f>VLOOKUP(24,$A$4:$AX$32,31,FALSE)</f>
        <v>222.607</v>
      </c>
      <c r="AF58" s="93">
        <f>VLOOKUP(24,$A$4:$AX$32,32,FALSE)</f>
        <v>235.984</v>
      </c>
      <c r="AG58" s="93">
        <f>VLOOKUP(24,$A$4:$AX$32,33,FALSE)</f>
        <v>221.921</v>
      </c>
      <c r="AH58" s="93">
        <f>VLOOKUP(24,$A$4:$AX$32,34,FALSE)</f>
        <v>258.279</v>
      </c>
      <c r="AI58" s="93">
        <f>VLOOKUP(24,$A$4:$AX$32,35,FALSE)</f>
        <v>255.878</v>
      </c>
    </row>
    <row r="59" spans="1:35" ht="25.5">
      <c r="A59">
        <v>25</v>
      </c>
      <c r="B59" s="78" t="s">
        <v>101</v>
      </c>
      <c r="C59" s="93">
        <f>VLOOKUP(25,$A$4:$AX$32,3,FALSE)</f>
        <v>0</v>
      </c>
      <c r="D59" s="93">
        <f>VLOOKUP(25,$A$4:$AX$32,4,FALSE)</f>
        <v>0</v>
      </c>
      <c r="E59" s="93">
        <f>VLOOKUP(25,$A$4:$AX$32,5,FALSE)</f>
        <v>0</v>
      </c>
      <c r="F59" s="93">
        <f>VLOOKUP(25,$A$4:$AX$32,6,FALSE)</f>
        <v>0</v>
      </c>
      <c r="G59" s="93">
        <f>VLOOKUP(25,$A$4:$AX$32,7,FALSE)</f>
        <v>0</v>
      </c>
      <c r="H59" s="93">
        <f>VLOOKUP(25,$A$4:$AX$32,8,FALSE)</f>
        <v>0</v>
      </c>
      <c r="I59" s="93">
        <f>VLOOKUP(25,$A$4:$AX$32,9,FALSE)</f>
        <v>0</v>
      </c>
      <c r="J59" s="93">
        <f>VLOOKUP(25,$A$4:$AX$32,10,FALSE)</f>
        <v>0</v>
      </c>
      <c r="K59" s="93">
        <f>VLOOKUP(25,$A$4:$AX$32,11,FALSE)</f>
        <v>0</v>
      </c>
      <c r="L59" s="93">
        <f>VLOOKUP(25,$A$4:$AX$32,12,FALSE)</f>
        <v>0</v>
      </c>
      <c r="M59" s="93">
        <f>VLOOKUP(25,$A$4:$AX$32,13,FALSE)</f>
        <v>0</v>
      </c>
      <c r="N59" s="93">
        <f>VLOOKUP(25,$A$4:$AX$32,14,FALSE)</f>
        <v>0</v>
      </c>
      <c r="O59" s="93">
        <f>VLOOKUP(25,$A$4:$AX$32,15,FALSE)</f>
        <v>0</v>
      </c>
      <c r="P59" s="93">
        <f>VLOOKUP(25,$A$4:$AX$32,16,FALSE)</f>
        <v>0</v>
      </c>
      <c r="Q59" s="93">
        <f>VLOOKUP(25,$A$4:$AX$32,17,FALSE)</f>
        <v>0</v>
      </c>
      <c r="R59" s="93">
        <f>VLOOKUP(25,$A$4:$AX$32,18,FALSE)</f>
        <v>0</v>
      </c>
      <c r="S59" s="93">
        <f>VLOOKUP(25,$A$4:$AX$32,19,FALSE)</f>
        <v>0</v>
      </c>
      <c r="T59" s="93">
        <f>VLOOKUP(25,$A$4:$AX$32,20,FALSE)</f>
        <v>0</v>
      </c>
      <c r="U59" s="93">
        <f>VLOOKUP(25,$A$4:$AX$32,21,FALSE)</f>
        <v>0</v>
      </c>
      <c r="V59" s="93">
        <f>VLOOKUP(25,$A$4:$AX$32,22,FALSE)</f>
        <v>0</v>
      </c>
      <c r="W59" s="93">
        <f>VLOOKUP(25,$A$4:$AX$32,23,FALSE)</f>
        <v>0</v>
      </c>
      <c r="X59" s="93">
        <f>VLOOKUP(25,$A$4:$AX$32,24,FALSE)</f>
        <v>0</v>
      </c>
      <c r="Y59" s="93">
        <f>VLOOKUP(25,$A$4:$AX$32,25,FALSE)</f>
        <v>867.5055</v>
      </c>
      <c r="Z59" s="93">
        <f>VLOOKUP(25,$A$4:$AX$32,26,FALSE)</f>
        <v>2021.0235</v>
      </c>
      <c r="AA59" s="93">
        <f>VLOOKUP(25,$A$4:$AX$32,27,FALSE)</f>
        <v>3509.8665</v>
      </c>
      <c r="AB59" s="93">
        <f>VLOOKUP(25,$A$4:$AX$32,28,FALSE)</f>
        <v>4663.5472</v>
      </c>
      <c r="AC59" s="93">
        <f>VLOOKUP(25,$A$4:$AX$32,29,FALSE)</f>
        <v>5132.2132</v>
      </c>
      <c r="AD59" s="93">
        <f>VLOOKUP(25,$A$4:$AX$32,30,FALSE)</f>
        <v>5808.3862</v>
      </c>
      <c r="AE59" s="93">
        <f>VLOOKUP(25,$A$4:$AX$32,31,FALSE)</f>
        <v>5916.3165</v>
      </c>
      <c r="AF59" s="93">
        <f>VLOOKUP(25,$A$4:$AX$32,32,FALSE)</f>
        <v>6564.8745</v>
      </c>
      <c r="AG59" s="93">
        <f>VLOOKUP(25,$A$4:$AX$32,33,FALSE)</f>
        <v>6605.508</v>
      </c>
      <c r="AH59" s="93">
        <f>VLOOKUP(25,$A$4:$AX$32,34,FALSE)</f>
        <v>6443.3685</v>
      </c>
      <c r="AI59" s="93">
        <f>VLOOKUP(25,$A$4:$AX$32,35,FALSE)</f>
        <v>7596.8865</v>
      </c>
    </row>
    <row r="60" spans="1:35" ht="25.5">
      <c r="A60">
        <v>26</v>
      </c>
      <c r="B60" s="78" t="s">
        <v>102</v>
      </c>
      <c r="C60" s="93">
        <f>VLOOKUP(26,$A$4:$AX$32,3,FALSE)</f>
        <v>16830.8925</v>
      </c>
      <c r="D60" s="93">
        <f>VLOOKUP(26,$A$4:$AX$32,4,FALSE)</f>
        <v>20776.7255</v>
      </c>
      <c r="E60" s="93">
        <f>VLOOKUP(26,$A$4:$AX$32,5,FALSE)</f>
        <v>19380.8495</v>
      </c>
      <c r="F60" s="93">
        <f>VLOOKUP(26,$A$4:$AX$32,6,FALSE)</f>
        <v>18976.333</v>
      </c>
      <c r="G60" s="93">
        <f>VLOOKUP(26,$A$4:$AX$32,7,FALSE)</f>
        <v>19191.3345</v>
      </c>
      <c r="H60" s="93">
        <f>VLOOKUP(26,$A$4:$AX$32,8,FALSE)</f>
        <v>19147.55</v>
      </c>
      <c r="I60" s="93">
        <f>VLOOKUP(26,$A$4:$AX$32,9,FALSE)</f>
        <v>20910.693</v>
      </c>
      <c r="J60" s="93">
        <f>VLOOKUP(26,$A$4:$AX$32,10,FALSE)</f>
        <v>21348.538</v>
      </c>
      <c r="K60" s="93">
        <f>VLOOKUP(26,$A$4:$AX$32,11,FALSE)</f>
        <v>20852.5315</v>
      </c>
      <c r="L60" s="93">
        <f>VLOOKUP(26,$A$4:$AX$32,12,FALSE)</f>
        <v>19933.057</v>
      </c>
      <c r="M60" s="93">
        <f>VLOOKUP(26,$A$4:$AX$32,13,FALSE)</f>
        <v>22679.064</v>
      </c>
      <c r="N60" s="93">
        <f>VLOOKUP(26,$A$4:$AX$32,14,FALSE)</f>
        <v>21685.0905</v>
      </c>
      <c r="O60" s="93">
        <f>VLOOKUP(26,$A$4:$AX$32,15,FALSE)</f>
        <v>22315.0645</v>
      </c>
      <c r="P60" s="93">
        <f>VLOOKUP(26,$A$4:$AX$32,16,FALSE)</f>
        <v>21887.6755</v>
      </c>
      <c r="Q60" s="93">
        <f>VLOOKUP(26,$A$4:$AX$32,17,FALSE)</f>
        <v>20820.51</v>
      </c>
      <c r="R60" s="93">
        <f>VLOOKUP(26,$A$4:$AX$32,18,FALSE)</f>
        <v>22331.402</v>
      </c>
      <c r="S60" s="93">
        <f>VLOOKUP(26,$A$4:$AX$32,19,FALSE)</f>
        <v>21772.006</v>
      </c>
      <c r="T60" s="93">
        <f>VLOOKUP(26,$A$4:$AX$32,20,FALSE)</f>
        <v>21291.03</v>
      </c>
      <c r="U60" s="93">
        <f>VLOOKUP(26,$A$4:$AX$32,21,FALSE)</f>
        <v>22331.402</v>
      </c>
      <c r="V60" s="93">
        <f>VLOOKUP(26,$A$4:$AX$32,22,FALSE)</f>
        <v>22489.549</v>
      </c>
      <c r="W60" s="93">
        <f>VLOOKUP(26,$A$4:$AX$32,23,FALSE)</f>
        <v>21444.6025</v>
      </c>
      <c r="X60" s="93">
        <f>VLOOKUP(26,$A$4:$AX$32,24,FALSE)</f>
        <v>19999.714</v>
      </c>
      <c r="Y60" s="93">
        <f>VLOOKUP(26,$A$4:$AX$32,25,FALSE)</f>
        <v>21638.0385</v>
      </c>
      <c r="Z60" s="93">
        <f>VLOOKUP(26,$A$4:$AX$32,26,FALSE)</f>
        <v>16589.0975</v>
      </c>
      <c r="AA60" s="93">
        <f>VLOOKUP(26,$A$4:$AX$32,27,FALSE)</f>
        <v>16643.9915</v>
      </c>
      <c r="AB60" s="93">
        <f>VLOOKUP(26,$A$4:$AX$32,28,FALSE)</f>
        <v>14633.615</v>
      </c>
      <c r="AC60" s="93">
        <f>VLOOKUP(26,$A$4:$AX$32,29,FALSE)</f>
        <v>11725.385</v>
      </c>
      <c r="AD60" s="93">
        <f>VLOOKUP(26,$A$4:$AX$32,30,FALSE)</f>
        <v>12373.7425</v>
      </c>
      <c r="AE60" s="93">
        <f>VLOOKUP(26,$A$4:$AX$32,31,FALSE)</f>
        <v>10679.506</v>
      </c>
      <c r="AF60" s="93">
        <f>VLOOKUP(26,$A$4:$AX$32,32,FALSE)</f>
        <v>10461.3655</v>
      </c>
      <c r="AG60" s="93">
        <f>VLOOKUP(26,$A$4:$AX$32,33,FALSE)</f>
        <v>9419.09</v>
      </c>
      <c r="AH60" s="93">
        <f>VLOOKUP(26,$A$4:$AX$32,34,FALSE)</f>
        <v>8796.5285</v>
      </c>
      <c r="AI60" s="93">
        <f>VLOOKUP(26,$A$4:$AX$32,35,FALSE)</f>
        <v>9885.37</v>
      </c>
    </row>
    <row r="61" spans="1:35" ht="25.5">
      <c r="A61">
        <v>27</v>
      </c>
      <c r="B61" s="78" t="s">
        <v>103</v>
      </c>
      <c r="C61" s="93">
        <f>VLOOKUP(27,$A$4:$AX$32,3,FALSE)</f>
        <v>7493.558</v>
      </c>
      <c r="D61" s="93">
        <f>VLOOKUP(27,$A$4:$AX$32,4,FALSE)</f>
        <v>9026.091</v>
      </c>
      <c r="E61" s="93">
        <f>VLOOKUP(27,$A$4:$AX$32,5,FALSE)</f>
        <v>8278.6145</v>
      </c>
      <c r="F61" s="93">
        <f>VLOOKUP(27,$A$4:$AX$32,6,FALSE)</f>
        <v>8170.9595</v>
      </c>
      <c r="G61" s="93">
        <f>VLOOKUP(27,$A$4:$AX$32,7,FALSE)</f>
        <v>8199.61</v>
      </c>
      <c r="H61" s="93">
        <f>VLOOKUP(27,$A$4:$AX$32,8,FALSE)</f>
        <v>8276.772</v>
      </c>
      <c r="I61" s="93">
        <f>VLOOKUP(27,$A$4:$AX$32,9,FALSE)</f>
        <v>8388.9365</v>
      </c>
      <c r="J61" s="93">
        <f>VLOOKUP(27,$A$4:$AX$32,10,FALSE)</f>
        <v>8495.696</v>
      </c>
      <c r="K61" s="93">
        <f>VLOOKUP(27,$A$4:$AX$32,11,FALSE)</f>
        <v>7709.7135</v>
      </c>
      <c r="L61" s="93">
        <f>VLOOKUP(27,$A$4:$AX$32,12,FALSE)</f>
        <v>7030.1035</v>
      </c>
      <c r="M61" s="93">
        <f>VLOOKUP(27,$A$4:$AX$32,13,FALSE)</f>
        <v>8376.379</v>
      </c>
      <c r="N61" s="93">
        <f>VLOOKUP(27,$A$4:$AX$32,14,FALSE)</f>
        <v>7903.91</v>
      </c>
      <c r="O61" s="93">
        <f>VLOOKUP(27,$A$4:$AX$32,15,FALSE)</f>
        <v>8115.3455</v>
      </c>
      <c r="P61" s="93">
        <f>VLOOKUP(27,$A$4:$AX$32,16,FALSE)</f>
        <v>7761.7595</v>
      </c>
      <c r="Q61" s="93">
        <f>VLOOKUP(27,$A$4:$AX$32,17,FALSE)</f>
        <v>7378.5625</v>
      </c>
      <c r="R61" s="93">
        <f>VLOOKUP(27,$A$4:$AX$32,18,FALSE)</f>
        <v>7768.352</v>
      </c>
      <c r="S61" s="93">
        <f>VLOOKUP(27,$A$4:$AX$32,19,FALSE)</f>
        <v>7806.981</v>
      </c>
      <c r="T61" s="93">
        <f>VLOOKUP(27,$A$4:$AX$32,20,FALSE)</f>
        <v>7389.298</v>
      </c>
      <c r="U61" s="93">
        <f>VLOOKUP(27,$A$4:$AX$32,21,FALSE)</f>
        <v>7804.683</v>
      </c>
      <c r="V61" s="93">
        <f>VLOOKUP(27,$A$4:$AX$32,22,FALSE)</f>
        <v>7861.55</v>
      </c>
      <c r="W61" s="93">
        <f>VLOOKUP(27,$A$4:$AX$32,23,FALSE)</f>
        <v>7440.3305</v>
      </c>
      <c r="X61" s="93">
        <f>VLOOKUP(27,$A$4:$AX$32,24,FALSE)</f>
        <v>7201.2135</v>
      </c>
      <c r="Y61" s="93">
        <f>VLOOKUP(27,$A$4:$AX$32,25,FALSE)</f>
        <v>7602.88</v>
      </c>
      <c r="Z61" s="93">
        <f>VLOOKUP(27,$A$4:$AX$32,26,FALSE)</f>
        <v>6726.6305</v>
      </c>
      <c r="AA61" s="93">
        <f>VLOOKUP(27,$A$4:$AX$32,27,FALSE)</f>
        <v>7223.3945</v>
      </c>
      <c r="AB61" s="93">
        <f>VLOOKUP(27,$A$4:$AX$32,28,FALSE)</f>
        <v>7076.153</v>
      </c>
      <c r="AC61" s="93">
        <f>VLOOKUP(27,$A$4:$AX$32,29,FALSE)</f>
        <v>6303.8015</v>
      </c>
      <c r="AD61" s="93">
        <f>VLOOKUP(27,$A$4:$AX$32,30,FALSE)</f>
        <v>6569.7155</v>
      </c>
      <c r="AE61" s="93">
        <f>VLOOKUP(27,$A$4:$AX$32,31,FALSE)</f>
        <v>6302.1855</v>
      </c>
      <c r="AF61" s="93">
        <f>VLOOKUP(27,$A$4:$AX$32,32,FALSE)</f>
        <v>7051.125</v>
      </c>
      <c r="AG61" s="93">
        <f>VLOOKUP(27,$A$4:$AX$32,33,FALSE)</f>
        <v>6336.0775</v>
      </c>
      <c r="AH61" s="93">
        <f>VLOOKUP(27,$A$4:$AX$32,34,FALSE)</f>
        <v>6077.265</v>
      </c>
      <c r="AI61" s="93">
        <f>VLOOKUP(27,$A$4:$AX$32,35,FALSE)</f>
        <v>6818.6925</v>
      </c>
    </row>
    <row r="62" spans="1:35" ht="25.5">
      <c r="A62">
        <v>28</v>
      </c>
      <c r="B62" s="78" t="s">
        <v>104</v>
      </c>
      <c r="C62" s="93">
        <f>VLOOKUP(28,$A$4:$AX$32,3,FALSE)</f>
        <v>1652.7825</v>
      </c>
      <c r="D62" s="93">
        <f>VLOOKUP(28,$A$4:$AX$32,4,FALSE)</f>
        <v>2030.174</v>
      </c>
      <c r="E62" s="93">
        <f>VLOOKUP(28,$A$4:$AX$32,5,FALSE)</f>
        <v>1857.131</v>
      </c>
      <c r="F62" s="93">
        <f>VLOOKUP(28,$A$4:$AX$32,6,FALSE)</f>
        <v>1743.741</v>
      </c>
      <c r="G62" s="93">
        <f>VLOOKUP(28,$A$4:$AX$32,7,FALSE)</f>
        <v>1837.904</v>
      </c>
      <c r="H62" s="93">
        <f>VLOOKUP(28,$A$4:$AX$32,8,FALSE)</f>
        <v>1831.988</v>
      </c>
      <c r="I62" s="93">
        <f>VLOOKUP(28,$A$4:$AX$32,9,FALSE)</f>
        <v>1823.607</v>
      </c>
      <c r="J62" s="93">
        <f>VLOOKUP(28,$A$4:$AX$32,10,FALSE)</f>
        <v>1917.277</v>
      </c>
      <c r="K62" s="93">
        <f>VLOOKUP(28,$A$4:$AX$32,11,FALSE)</f>
        <v>1712.682</v>
      </c>
      <c r="L62" s="93">
        <f>VLOOKUP(28,$A$4:$AX$32,12,FALSE)</f>
        <v>1661.903</v>
      </c>
      <c r="M62" s="93">
        <f>VLOOKUP(28,$A$4:$AX$32,13,FALSE)</f>
        <v>1930.588</v>
      </c>
      <c r="N62" s="93">
        <f>VLOOKUP(28,$A$4:$AX$32,14,FALSE)</f>
        <v>1708.245</v>
      </c>
      <c r="O62" s="93">
        <f>VLOOKUP(28,$A$4:$AX$32,15,FALSE)</f>
        <v>1834.2065</v>
      </c>
      <c r="P62" s="93">
        <f>VLOOKUP(28,$A$4:$AX$32,16,FALSE)</f>
        <v>1775.0465</v>
      </c>
      <c r="Q62" s="93">
        <f>VLOOKUP(28,$A$4:$AX$32,17,FALSE)</f>
        <v>1632.323</v>
      </c>
      <c r="R62" s="93">
        <f>VLOOKUP(28,$A$4:$AX$32,18,FALSE)</f>
        <v>1720.3235</v>
      </c>
      <c r="S62" s="93">
        <f>VLOOKUP(28,$A$4:$AX$32,19,FALSE)</f>
        <v>1749.657</v>
      </c>
      <c r="T62" s="93">
        <f>VLOOKUP(28,$A$4:$AX$32,20,FALSE)</f>
        <v>1739.797</v>
      </c>
      <c r="U62" s="93">
        <f>VLOOKUP(28,$A$4:$AX$32,21,FALSE)</f>
        <v>1718.8445</v>
      </c>
      <c r="V62" s="93">
        <f>VLOOKUP(28,$A$4:$AX$32,22,FALSE)</f>
        <v>1739.304</v>
      </c>
      <c r="W62" s="93">
        <f>VLOOKUP(28,$A$4:$AX$32,23,FALSE)</f>
        <v>1796.492</v>
      </c>
      <c r="X62" s="93">
        <f>VLOOKUP(28,$A$4:$AX$32,24,FALSE)</f>
        <v>1487.6275</v>
      </c>
      <c r="Y62" s="93">
        <f>VLOOKUP(28,$A$4:$AX$32,25,FALSE)</f>
        <v>1807.831</v>
      </c>
      <c r="Z62" s="93">
        <f>VLOOKUP(28,$A$4:$AX$32,26,FALSE)</f>
        <v>1460.759</v>
      </c>
      <c r="AA62" s="93">
        <f>VLOOKUP(28,$A$4:$AX$32,27,FALSE)</f>
        <v>1637.746</v>
      </c>
      <c r="AB62" s="93">
        <f>VLOOKUP(28,$A$4:$AX$32,28,FALSE)</f>
        <v>1697.892</v>
      </c>
      <c r="AC62" s="93">
        <f>VLOOKUP(28,$A$4:$AX$32,29,FALSE)</f>
        <v>1476.535</v>
      </c>
      <c r="AD62" s="93">
        <f>VLOOKUP(28,$A$4:$AX$32,30,FALSE)</f>
        <v>1648.592</v>
      </c>
      <c r="AE62" s="93">
        <f>VLOOKUP(28,$A$4:$AX$32,31,FALSE)</f>
        <v>1502.4175</v>
      </c>
      <c r="AF62" s="93">
        <f>VLOOKUP(28,$A$4:$AX$32,32,FALSE)</f>
        <v>1669.791</v>
      </c>
      <c r="AG62" s="93">
        <f>VLOOKUP(28,$A$4:$AX$32,33,FALSE)</f>
        <v>1496.5015</v>
      </c>
      <c r="AH62" s="93">
        <f>VLOOKUP(28,$A$4:$AX$32,34,FALSE)</f>
        <v>1453.857</v>
      </c>
      <c r="AI62" s="93">
        <f>VLOOKUP(28,$A$4:$AX$32,35,FALSE)</f>
        <v>1662.1495</v>
      </c>
    </row>
    <row r="63" spans="1:35" ht="12.75">
      <c r="A63">
        <v>29</v>
      </c>
      <c r="B63" s="78" t="s">
        <v>107</v>
      </c>
      <c r="C63" s="93">
        <f>VLOOKUP(29,$A$4:$AX$32,3,FALSE)</f>
        <v>0</v>
      </c>
      <c r="D63" s="93">
        <f>VLOOKUP(29,$A$4:$AX$32,4,FALSE)</f>
        <v>0</v>
      </c>
      <c r="E63" s="93">
        <f>VLOOKUP(29,$A$4:$AX$32,5,FALSE)</f>
        <v>0</v>
      </c>
      <c r="F63" s="93">
        <f>VLOOKUP(29,$A$4:$AX$32,6,FALSE)</f>
        <v>0</v>
      </c>
      <c r="G63" s="93">
        <f>VLOOKUP(29,$A$4:$AX$32,7,FALSE)</f>
        <v>0</v>
      </c>
      <c r="H63" s="93">
        <f>VLOOKUP(29,$A$4:$AX$32,8,FALSE)</f>
        <v>0</v>
      </c>
      <c r="I63" s="93">
        <f>VLOOKUP(29,$A$4:$AX$32,9,FALSE)</f>
        <v>0</v>
      </c>
      <c r="J63" s="93">
        <f>VLOOKUP(29,$A$4:$AX$32,10,FALSE)</f>
        <v>0</v>
      </c>
      <c r="K63" s="93">
        <f>VLOOKUP(29,$A$4:$AX$32,11,FALSE)</f>
        <v>0</v>
      </c>
      <c r="L63" s="93">
        <f>VLOOKUP(29,$A$4:$AX$32,12,FALSE)</f>
        <v>0</v>
      </c>
      <c r="M63" s="93">
        <f>VLOOKUP(29,$A$4:$AX$32,13,FALSE)</f>
        <v>0</v>
      </c>
      <c r="N63" s="93">
        <f>VLOOKUP(29,$A$4:$AX$32,14,FALSE)</f>
        <v>0</v>
      </c>
      <c r="O63" s="93">
        <f>VLOOKUP(29,$A$4:$AX$32,15,FALSE)</f>
        <v>0</v>
      </c>
      <c r="P63" s="93">
        <f>VLOOKUP(29,$A$4:$AX$32,16,FALSE)</f>
        <v>0</v>
      </c>
      <c r="Q63" s="93">
        <f>VLOOKUP(29,$A$4:$AX$32,17,FALSE)</f>
        <v>0</v>
      </c>
      <c r="R63" s="93">
        <f>VLOOKUP(29,$A$4:$AX$32,18,FALSE)</f>
        <v>0</v>
      </c>
      <c r="S63" s="93">
        <f>VLOOKUP(29,$A$4:$AX$32,19,FALSE)</f>
        <v>0</v>
      </c>
      <c r="T63" s="93">
        <f>VLOOKUP(29,$A$4:$AX$32,20,FALSE)</f>
        <v>0</v>
      </c>
      <c r="U63" s="93">
        <f>VLOOKUP(29,$A$4:$AX$32,21,FALSE)</f>
        <v>0</v>
      </c>
      <c r="V63" s="93">
        <f>VLOOKUP(29,$A$4:$AX$32,22,FALSE)</f>
        <v>0</v>
      </c>
      <c r="W63" s="93">
        <f>VLOOKUP(29,$A$4:$AX$32,23,FALSE)</f>
        <v>0</v>
      </c>
      <c r="X63" s="93">
        <f>VLOOKUP(29,$A$4:$AX$32,24,FALSE)</f>
        <v>0</v>
      </c>
      <c r="Y63" s="93">
        <f>VLOOKUP(29,$A$4:$AX$32,25,FALSE)</f>
        <v>0</v>
      </c>
      <c r="Z63" s="93">
        <f>VLOOKUP(29,$A$4:$AX$32,26,FALSE)</f>
        <v>0</v>
      </c>
      <c r="AA63" s="93">
        <f>VLOOKUP(29,$A$4:$AX$32,27,FALSE)</f>
        <v>0</v>
      </c>
      <c r="AB63" s="93">
        <f>VLOOKUP(29,$A$4:$AX$32,28,FALSE)</f>
        <v>0</v>
      </c>
      <c r="AC63" s="93">
        <f>VLOOKUP(29,$A$4:$AX$32,29,FALSE)</f>
        <v>0</v>
      </c>
      <c r="AD63" s="93">
        <f>VLOOKUP(29,$A$4:$AX$32,30,FALSE)</f>
        <v>0</v>
      </c>
      <c r="AE63" s="93">
        <f>VLOOKUP(29,$A$4:$AX$32,31,FALSE)</f>
        <v>0</v>
      </c>
      <c r="AF63" s="93">
        <f>VLOOKUP(29,$A$4:$AX$32,32,FALSE)</f>
        <v>0</v>
      </c>
      <c r="AG63" s="93">
        <f>VLOOKUP(29,$A$4:$AX$32,33,FALSE)</f>
        <v>0</v>
      </c>
      <c r="AH63" s="93">
        <f>VLOOKUP(29,$A$4:$AX$32,34,FALSE)</f>
        <v>0</v>
      </c>
      <c r="AI63" s="93">
        <f>VLOOKUP(29,$A$4:$AX$32,35,FALSE)</f>
        <v>175.245</v>
      </c>
    </row>
    <row r="64" spans="2:35" ht="12.75">
      <c r="B64" s="44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</row>
    <row r="65" spans="2:35" ht="13.5" thickBot="1">
      <c r="B65" s="111" t="s">
        <v>120</v>
      </c>
      <c r="C65" s="12">
        <v>38108</v>
      </c>
      <c r="D65" s="12">
        <v>38139</v>
      </c>
      <c r="E65" s="12">
        <v>38169</v>
      </c>
      <c r="F65" s="12">
        <v>38200</v>
      </c>
      <c r="G65" s="12">
        <v>38231</v>
      </c>
      <c r="H65" s="12">
        <v>38261</v>
      </c>
      <c r="I65" s="12">
        <v>38292</v>
      </c>
      <c r="J65" s="12">
        <v>38322</v>
      </c>
      <c r="K65" s="12">
        <v>38353</v>
      </c>
      <c r="L65" s="12">
        <v>38384</v>
      </c>
      <c r="M65" s="12">
        <v>38412</v>
      </c>
      <c r="N65" s="12">
        <v>38443</v>
      </c>
      <c r="O65" s="12">
        <v>38473</v>
      </c>
      <c r="P65" s="12">
        <v>38504</v>
      </c>
      <c r="Q65" s="12">
        <v>38534</v>
      </c>
      <c r="R65" s="12">
        <v>38565</v>
      </c>
      <c r="S65" s="12">
        <v>38596</v>
      </c>
      <c r="T65" s="12">
        <v>38626</v>
      </c>
      <c r="U65" s="12">
        <v>38657</v>
      </c>
      <c r="V65" s="12">
        <v>38687</v>
      </c>
      <c r="W65" s="12">
        <v>38718</v>
      </c>
      <c r="X65" s="12">
        <v>38749</v>
      </c>
      <c r="Y65" s="12">
        <v>38777</v>
      </c>
      <c r="Z65" s="12">
        <v>38808</v>
      </c>
      <c r="AA65" s="12">
        <v>38838</v>
      </c>
      <c r="AB65" s="12">
        <v>38869</v>
      </c>
      <c r="AC65" s="12">
        <v>38899</v>
      </c>
      <c r="AD65" s="12">
        <v>38930</v>
      </c>
      <c r="AE65" s="12">
        <v>38961</v>
      </c>
      <c r="AF65" s="12">
        <v>38991</v>
      </c>
      <c r="AG65" s="12">
        <v>39022</v>
      </c>
      <c r="AH65" s="12">
        <v>39052</v>
      </c>
      <c r="AI65" s="12">
        <v>39083</v>
      </c>
    </row>
    <row r="66" spans="2:35" ht="13.5" thickTop="1">
      <c r="B66" s="99" t="s">
        <v>1</v>
      </c>
      <c r="C66" s="102">
        <f aca="true" t="shared" si="0" ref="C66:C74">IF(ISERROR(C35),0,C35)</f>
        <v>0</v>
      </c>
      <c r="D66" s="102">
        <f aca="true" t="shared" si="1" ref="D66:AI73">IF(ISERROR(D35),0,D35)</f>
        <v>0</v>
      </c>
      <c r="E66" s="102">
        <f t="shared" si="1"/>
        <v>0</v>
      </c>
      <c r="F66" s="102">
        <f t="shared" si="1"/>
        <v>0</v>
      </c>
      <c r="G66" s="102">
        <f t="shared" si="1"/>
        <v>0</v>
      </c>
      <c r="H66" s="102">
        <f t="shared" si="1"/>
        <v>0</v>
      </c>
      <c r="I66" s="102">
        <f t="shared" si="1"/>
        <v>0</v>
      </c>
      <c r="J66" s="102">
        <f t="shared" si="1"/>
        <v>0</v>
      </c>
      <c r="K66" s="102">
        <f t="shared" si="1"/>
        <v>0</v>
      </c>
      <c r="L66" s="102">
        <f t="shared" si="1"/>
        <v>0</v>
      </c>
      <c r="M66" s="102">
        <f t="shared" si="1"/>
        <v>0</v>
      </c>
      <c r="N66" s="102">
        <f t="shared" si="1"/>
        <v>0</v>
      </c>
      <c r="O66" s="102">
        <f t="shared" si="1"/>
        <v>0</v>
      </c>
      <c r="P66" s="102">
        <f t="shared" si="1"/>
        <v>0</v>
      </c>
      <c r="Q66" s="102">
        <f t="shared" si="1"/>
        <v>0</v>
      </c>
      <c r="R66" s="102">
        <f t="shared" si="1"/>
        <v>0</v>
      </c>
      <c r="S66" s="102">
        <f t="shared" si="1"/>
        <v>0</v>
      </c>
      <c r="T66" s="102">
        <f t="shared" si="1"/>
        <v>0</v>
      </c>
      <c r="U66" s="102">
        <f t="shared" si="1"/>
        <v>0</v>
      </c>
      <c r="V66" s="102">
        <f t="shared" si="1"/>
        <v>48.852</v>
      </c>
      <c r="W66" s="102">
        <f t="shared" si="1"/>
        <v>60.03</v>
      </c>
      <c r="X66" s="102">
        <f t="shared" si="1"/>
        <v>83.214</v>
      </c>
      <c r="Y66" s="102">
        <f t="shared" si="1"/>
        <v>162.702</v>
      </c>
      <c r="Z66" s="102">
        <f t="shared" si="1"/>
        <v>139.104</v>
      </c>
      <c r="AA66" s="102">
        <f t="shared" si="1"/>
        <v>218.178</v>
      </c>
      <c r="AB66" s="102">
        <f t="shared" si="1"/>
        <v>233.91</v>
      </c>
      <c r="AC66" s="102">
        <f t="shared" si="1"/>
        <v>255.852</v>
      </c>
      <c r="AD66" s="102">
        <f t="shared" si="1"/>
        <v>261.648</v>
      </c>
      <c r="AE66" s="102">
        <f t="shared" si="1"/>
        <v>285.66</v>
      </c>
      <c r="AF66" s="102">
        <f t="shared" si="1"/>
        <v>277.38</v>
      </c>
      <c r="AG66" s="102">
        <f t="shared" si="1"/>
        <v>353.97</v>
      </c>
      <c r="AH66" s="102">
        <f t="shared" si="1"/>
        <v>149.868</v>
      </c>
      <c r="AI66" s="102">
        <f t="shared" si="1"/>
        <v>406.548</v>
      </c>
    </row>
    <row r="67" spans="2:35" ht="12.75">
      <c r="B67" s="101" t="s">
        <v>2</v>
      </c>
      <c r="C67" s="102">
        <f t="shared" si="0"/>
        <v>33298.864</v>
      </c>
      <c r="D67" s="102">
        <f t="shared" si="1"/>
        <v>42994.82</v>
      </c>
      <c r="E67" s="102">
        <f t="shared" si="1"/>
        <v>37891.932</v>
      </c>
      <c r="F67" s="102">
        <f t="shared" si="1"/>
        <v>39544.452</v>
      </c>
      <c r="G67" s="102">
        <f t="shared" si="1"/>
        <v>37646.984</v>
      </c>
      <c r="H67" s="102">
        <f t="shared" si="1"/>
        <v>37814.58</v>
      </c>
      <c r="I67" s="102">
        <f t="shared" si="1"/>
        <v>39287.784</v>
      </c>
      <c r="J67" s="102">
        <f t="shared" si="1"/>
        <v>39891.364</v>
      </c>
      <c r="K67" s="102">
        <f t="shared" si="1"/>
        <v>37624.716</v>
      </c>
      <c r="L67" s="102">
        <f t="shared" si="1"/>
        <v>34184.896</v>
      </c>
      <c r="M67" s="102">
        <f t="shared" si="1"/>
        <v>40661.368</v>
      </c>
      <c r="N67" s="102">
        <f t="shared" si="1"/>
        <v>37976.316</v>
      </c>
      <c r="O67" s="102">
        <f t="shared" si="1"/>
        <v>38172.8745</v>
      </c>
      <c r="P67" s="102">
        <f t="shared" si="1"/>
        <v>33805.679</v>
      </c>
      <c r="Q67" s="102">
        <f t="shared" si="1"/>
        <v>32155.1805</v>
      </c>
      <c r="R67" s="102">
        <f t="shared" si="1"/>
        <v>35251.9885</v>
      </c>
      <c r="S67" s="102">
        <f t="shared" si="1"/>
        <v>34175.0205</v>
      </c>
      <c r="T67" s="102">
        <f t="shared" si="1"/>
        <v>33291.8335</v>
      </c>
      <c r="U67" s="102">
        <f t="shared" si="1"/>
        <v>35367.6245</v>
      </c>
      <c r="V67" s="102">
        <f t="shared" si="1"/>
        <v>35849.0465</v>
      </c>
      <c r="W67" s="102">
        <f t="shared" si="1"/>
        <v>34396.8785</v>
      </c>
      <c r="X67" s="102">
        <f t="shared" si="1"/>
        <v>32270.2925</v>
      </c>
      <c r="Y67" s="102">
        <f t="shared" si="1"/>
        <v>36069.416</v>
      </c>
      <c r="Z67" s="102">
        <f t="shared" si="1"/>
        <v>31462.5555</v>
      </c>
      <c r="AA67" s="102">
        <f t="shared" si="1"/>
        <v>35587.366</v>
      </c>
      <c r="AB67" s="102">
        <f t="shared" si="1"/>
        <v>34711.1765</v>
      </c>
      <c r="AC67" s="102">
        <f t="shared" si="1"/>
        <v>33685.3865</v>
      </c>
      <c r="AD67" s="102">
        <f t="shared" si="1"/>
        <v>34455.682</v>
      </c>
      <c r="AE67" s="102">
        <f t="shared" si="1"/>
        <v>33431.904</v>
      </c>
      <c r="AF67" s="102">
        <f t="shared" si="1"/>
        <v>36268.291</v>
      </c>
      <c r="AG67" s="102">
        <f t="shared" si="1"/>
        <v>34144.802</v>
      </c>
      <c r="AH67" s="102">
        <f t="shared" si="1"/>
        <v>33262.8545</v>
      </c>
      <c r="AI67" s="102">
        <f t="shared" si="1"/>
        <v>38027.956</v>
      </c>
    </row>
    <row r="68" spans="2:35" ht="12.75">
      <c r="B68" s="101" t="s">
        <v>3</v>
      </c>
      <c r="C68" s="102">
        <f t="shared" si="0"/>
        <v>8803.13</v>
      </c>
      <c r="D68" s="102">
        <f t="shared" si="1"/>
        <v>11715.1405</v>
      </c>
      <c r="E68" s="102">
        <f t="shared" si="1"/>
        <v>10557.953</v>
      </c>
      <c r="F68" s="102">
        <f t="shared" si="1"/>
        <v>10487.211</v>
      </c>
      <c r="G68" s="102">
        <f t="shared" si="1"/>
        <v>11518.808</v>
      </c>
      <c r="H68" s="102">
        <f t="shared" si="1"/>
        <v>10370.3355</v>
      </c>
      <c r="I68" s="102">
        <f t="shared" si="1"/>
        <v>11688.6</v>
      </c>
      <c r="J68" s="102">
        <f t="shared" si="1"/>
        <v>12624.4125</v>
      </c>
      <c r="K68" s="102">
        <f t="shared" si="1"/>
        <v>12141.4125</v>
      </c>
      <c r="L68" s="102">
        <f t="shared" si="1"/>
        <v>11583.95</v>
      </c>
      <c r="M68" s="102">
        <f t="shared" si="1"/>
        <v>13043.0125</v>
      </c>
      <c r="N68" s="102">
        <f t="shared" si="1"/>
        <v>12628.4375</v>
      </c>
      <c r="O68" s="102">
        <f t="shared" si="1"/>
        <v>12942.7375</v>
      </c>
      <c r="P68" s="102">
        <f t="shared" si="1"/>
        <v>12139.7375</v>
      </c>
      <c r="Q68" s="102">
        <f t="shared" si="1"/>
        <v>11286.7625</v>
      </c>
      <c r="R68" s="102">
        <f t="shared" si="1"/>
        <v>11896.0125</v>
      </c>
      <c r="S68" s="102">
        <f t="shared" si="1"/>
        <v>11473.35</v>
      </c>
      <c r="T68" s="102">
        <f t="shared" si="1"/>
        <v>11675.2875</v>
      </c>
      <c r="U68" s="102">
        <f t="shared" si="1"/>
        <v>12581.2125</v>
      </c>
      <c r="V68" s="102">
        <f t="shared" si="1"/>
        <v>13165.4875</v>
      </c>
      <c r="W68" s="102">
        <f t="shared" si="1"/>
        <v>12156.3375</v>
      </c>
      <c r="X68" s="102">
        <f t="shared" si="1"/>
        <v>11079.5125</v>
      </c>
      <c r="Y68" s="102">
        <f t="shared" si="1"/>
        <v>11905.3375</v>
      </c>
      <c r="Z68" s="102">
        <f t="shared" si="1"/>
        <v>10844.6375</v>
      </c>
      <c r="AA68" s="102">
        <f t="shared" si="1"/>
        <v>12422.55</v>
      </c>
      <c r="AB68" s="102">
        <f t="shared" si="1"/>
        <v>11583.8375</v>
      </c>
      <c r="AC68" s="102">
        <f t="shared" si="1"/>
        <v>11009.8</v>
      </c>
      <c r="AD68" s="102">
        <f t="shared" si="1"/>
        <v>11633.05</v>
      </c>
      <c r="AE68" s="102">
        <f t="shared" si="1"/>
        <v>11043.0375</v>
      </c>
      <c r="AF68" s="102">
        <f t="shared" si="1"/>
        <v>12401.325</v>
      </c>
      <c r="AG68" s="102">
        <f t="shared" si="1"/>
        <v>11472.175</v>
      </c>
      <c r="AH68" s="102">
        <f t="shared" si="1"/>
        <v>10978.7625</v>
      </c>
      <c r="AI68" s="102">
        <f t="shared" si="1"/>
        <v>11687.425</v>
      </c>
    </row>
    <row r="69" spans="2:35" ht="12.75">
      <c r="B69" s="101" t="s">
        <v>74</v>
      </c>
      <c r="C69" s="102">
        <f t="shared" si="0"/>
        <v>0</v>
      </c>
      <c r="D69" s="102">
        <f t="shared" si="1"/>
        <v>0</v>
      </c>
      <c r="E69" s="102">
        <f t="shared" si="1"/>
        <v>0</v>
      </c>
      <c r="F69" s="102">
        <f t="shared" si="1"/>
        <v>0</v>
      </c>
      <c r="G69" s="102">
        <f t="shared" si="1"/>
        <v>0</v>
      </c>
      <c r="H69" s="102">
        <f t="shared" si="1"/>
        <v>0</v>
      </c>
      <c r="I69" s="102">
        <f t="shared" si="1"/>
        <v>0</v>
      </c>
      <c r="J69" s="102">
        <f t="shared" si="1"/>
        <v>0</v>
      </c>
      <c r="K69" s="102">
        <f t="shared" si="1"/>
        <v>0</v>
      </c>
      <c r="L69" s="102">
        <f t="shared" si="1"/>
        <v>0</v>
      </c>
      <c r="M69" s="102">
        <f t="shared" si="1"/>
        <v>0</v>
      </c>
      <c r="N69" s="102">
        <f t="shared" si="1"/>
        <v>0</v>
      </c>
      <c r="O69" s="102">
        <f t="shared" si="1"/>
        <v>0</v>
      </c>
      <c r="P69" s="102">
        <f t="shared" si="1"/>
        <v>0</v>
      </c>
      <c r="Q69" s="102">
        <f t="shared" si="1"/>
        <v>0</v>
      </c>
      <c r="R69" s="102">
        <f t="shared" si="1"/>
        <v>0</v>
      </c>
      <c r="S69" s="102">
        <f t="shared" si="1"/>
        <v>0</v>
      </c>
      <c r="T69" s="102">
        <f t="shared" si="1"/>
        <v>0</v>
      </c>
      <c r="U69" s="102">
        <f t="shared" si="1"/>
        <v>0</v>
      </c>
      <c r="V69" s="102">
        <f t="shared" si="1"/>
        <v>0</v>
      </c>
      <c r="W69" s="102">
        <f t="shared" si="1"/>
        <v>0</v>
      </c>
      <c r="X69" s="102">
        <f t="shared" si="1"/>
        <v>0</v>
      </c>
      <c r="Y69" s="102">
        <f t="shared" si="1"/>
        <v>0</v>
      </c>
      <c r="Z69" s="102">
        <f t="shared" si="1"/>
        <v>0</v>
      </c>
      <c r="AA69" s="102">
        <f t="shared" si="1"/>
        <v>0</v>
      </c>
      <c r="AB69" s="102">
        <f t="shared" si="1"/>
        <v>0</v>
      </c>
      <c r="AC69" s="102">
        <f t="shared" si="1"/>
        <v>0</v>
      </c>
      <c r="AD69" s="102">
        <f t="shared" si="1"/>
        <v>0</v>
      </c>
      <c r="AE69" s="102">
        <f t="shared" si="1"/>
        <v>49.631</v>
      </c>
      <c r="AF69" s="102">
        <f t="shared" si="1"/>
        <v>51.9125</v>
      </c>
      <c r="AG69" s="102">
        <f t="shared" si="1"/>
        <v>136.949</v>
      </c>
      <c r="AH69" s="102">
        <f t="shared" si="1"/>
        <v>130.8525</v>
      </c>
      <c r="AI69" s="102">
        <f t="shared" si="1"/>
        <v>232.757</v>
      </c>
    </row>
    <row r="70" spans="2:35" ht="12.75">
      <c r="B70" s="101" t="s">
        <v>4</v>
      </c>
      <c r="C70" s="102">
        <f t="shared" si="0"/>
        <v>54587.199</v>
      </c>
      <c r="D70" s="102">
        <f t="shared" si="1"/>
        <v>66837.8805</v>
      </c>
      <c r="E70" s="102">
        <f t="shared" si="1"/>
        <v>61208.1105</v>
      </c>
      <c r="F70" s="102">
        <f t="shared" si="1"/>
        <v>62819.3895</v>
      </c>
      <c r="G70" s="102">
        <f t="shared" si="1"/>
        <v>62612.3175</v>
      </c>
      <c r="H70" s="102">
        <f t="shared" si="1"/>
        <v>63321.9705</v>
      </c>
      <c r="I70" s="102">
        <f t="shared" si="1"/>
        <v>64306.641</v>
      </c>
      <c r="J70" s="102">
        <f t="shared" si="1"/>
        <v>65618.097</v>
      </c>
      <c r="K70" s="102">
        <f t="shared" si="1"/>
        <v>65753.988</v>
      </c>
      <c r="L70" s="102">
        <f t="shared" si="1"/>
        <v>58235.7645</v>
      </c>
      <c r="M70" s="102">
        <f t="shared" si="1"/>
        <v>71284.536</v>
      </c>
      <c r="N70" s="102">
        <f t="shared" si="1"/>
        <v>65926.548</v>
      </c>
      <c r="O70" s="102">
        <f t="shared" si="1"/>
        <v>68196.7905</v>
      </c>
      <c r="P70" s="102">
        <f t="shared" si="1"/>
        <v>65128.458</v>
      </c>
      <c r="Q70" s="102">
        <f t="shared" si="1"/>
        <v>61414.104</v>
      </c>
      <c r="R70" s="102">
        <f t="shared" si="1"/>
        <v>65024.922</v>
      </c>
      <c r="S70" s="102">
        <f t="shared" si="1"/>
        <v>64253.7945</v>
      </c>
      <c r="T70" s="102">
        <f t="shared" si="1"/>
        <v>61334.295</v>
      </c>
      <c r="U70" s="102">
        <f t="shared" si="1"/>
        <v>63891.4185</v>
      </c>
      <c r="V70" s="102">
        <f t="shared" si="1"/>
        <v>65027.079</v>
      </c>
      <c r="W70" s="102">
        <f t="shared" si="1"/>
        <v>62412.795</v>
      </c>
      <c r="X70" s="102">
        <f t="shared" si="1"/>
        <v>59728.4085</v>
      </c>
      <c r="Y70" s="102">
        <f t="shared" si="1"/>
        <v>64818.9285</v>
      </c>
      <c r="Z70" s="102">
        <f t="shared" si="1"/>
        <v>56642.82</v>
      </c>
      <c r="AA70" s="102">
        <f t="shared" si="1"/>
        <v>63585.1245</v>
      </c>
      <c r="AB70" s="102">
        <f t="shared" si="1"/>
        <v>61761.381</v>
      </c>
      <c r="AC70" s="102">
        <f t="shared" si="1"/>
        <v>54391.828</v>
      </c>
      <c r="AD70" s="102">
        <f t="shared" si="1"/>
        <v>53605.086</v>
      </c>
      <c r="AE70" s="102">
        <f t="shared" si="1"/>
        <v>48200.5497</v>
      </c>
      <c r="AF70" s="102">
        <f t="shared" si="1"/>
        <v>51274.6658</v>
      </c>
      <c r="AG70" s="102">
        <f t="shared" si="1"/>
        <v>47824.8328</v>
      </c>
      <c r="AH70" s="102">
        <f t="shared" si="1"/>
        <v>44633.9292</v>
      </c>
      <c r="AI70" s="102">
        <f t="shared" si="1"/>
        <v>50690.5486</v>
      </c>
    </row>
    <row r="71" spans="2:35" ht="12.75">
      <c r="B71" s="101" t="s">
        <v>5</v>
      </c>
      <c r="C71" s="102">
        <f t="shared" si="0"/>
        <v>38852.088</v>
      </c>
      <c r="D71" s="102">
        <f t="shared" si="1"/>
        <v>47915.153</v>
      </c>
      <c r="E71" s="102">
        <f t="shared" si="1"/>
        <v>45624.1555</v>
      </c>
      <c r="F71" s="102">
        <f t="shared" si="1"/>
        <v>45323.399</v>
      </c>
      <c r="G71" s="102">
        <f t="shared" si="1"/>
        <v>46021.8</v>
      </c>
      <c r="H71" s="102">
        <f t="shared" si="1"/>
        <v>46362.9265</v>
      </c>
      <c r="I71" s="102">
        <f t="shared" si="1"/>
        <v>49071.7535</v>
      </c>
      <c r="J71" s="102">
        <f t="shared" si="1"/>
        <v>50492.7775</v>
      </c>
      <c r="K71" s="102">
        <f t="shared" si="1"/>
        <v>48823.478</v>
      </c>
      <c r="L71" s="102">
        <f t="shared" si="1"/>
        <v>44374.704</v>
      </c>
      <c r="M71" s="102">
        <f t="shared" si="1"/>
        <v>53690.0815</v>
      </c>
      <c r="N71" s="102">
        <f t="shared" si="1"/>
        <v>51304.2145</v>
      </c>
      <c r="O71" s="102">
        <f t="shared" si="1"/>
        <v>53817.247</v>
      </c>
      <c r="P71" s="102">
        <f t="shared" si="1"/>
        <v>53143.068</v>
      </c>
      <c r="Q71" s="102">
        <f t="shared" si="1"/>
        <v>49138.364</v>
      </c>
      <c r="R71" s="102">
        <f t="shared" si="1"/>
        <v>54584.277</v>
      </c>
      <c r="S71" s="102">
        <f t="shared" si="1"/>
        <v>52567.7955</v>
      </c>
      <c r="T71" s="102">
        <f t="shared" si="1"/>
        <v>50799.5895</v>
      </c>
      <c r="U71" s="102">
        <f t="shared" si="1"/>
        <v>52460.815</v>
      </c>
      <c r="V71" s="102">
        <f t="shared" si="1"/>
        <v>52836.256</v>
      </c>
      <c r="W71" s="102">
        <f t="shared" si="1"/>
        <v>51770.488</v>
      </c>
      <c r="X71" s="102">
        <f t="shared" si="1"/>
        <v>47925.2455</v>
      </c>
      <c r="Y71" s="102">
        <f t="shared" si="1"/>
        <v>52836.256</v>
      </c>
      <c r="Z71" s="102">
        <f t="shared" si="1"/>
        <v>46994.717</v>
      </c>
      <c r="AA71" s="102">
        <f t="shared" si="1"/>
        <v>53502.361</v>
      </c>
      <c r="AB71" s="102">
        <f t="shared" si="1"/>
        <v>52755.516</v>
      </c>
      <c r="AC71" s="102">
        <f t="shared" si="1"/>
        <v>45836.8295</v>
      </c>
      <c r="AD71" s="102">
        <f t="shared" si="1"/>
        <v>46236.6765</v>
      </c>
      <c r="AE71" s="102">
        <f t="shared" si="1"/>
        <v>40688.516</v>
      </c>
      <c r="AF71" s="102">
        <f t="shared" si="1"/>
        <v>41957.8495</v>
      </c>
      <c r="AG71" s="102">
        <f t="shared" si="1"/>
        <v>38379.1002</v>
      </c>
      <c r="AH71" s="102">
        <f t="shared" si="1"/>
        <v>36215.9777</v>
      </c>
      <c r="AI71" s="102">
        <f t="shared" si="1"/>
        <v>43305.1392</v>
      </c>
    </row>
    <row r="72" spans="2:35" ht="12" customHeight="1">
      <c r="B72" s="101" t="s">
        <v>53</v>
      </c>
      <c r="C72" s="102">
        <f t="shared" si="0"/>
        <v>0</v>
      </c>
      <c r="D72" s="102">
        <f t="shared" si="1"/>
        <v>0</v>
      </c>
      <c r="E72" s="102">
        <f t="shared" si="1"/>
        <v>0</v>
      </c>
      <c r="F72" s="102">
        <f t="shared" si="1"/>
        <v>0</v>
      </c>
      <c r="G72" s="102">
        <f t="shared" si="1"/>
        <v>0</v>
      </c>
      <c r="H72" s="102">
        <f t="shared" si="1"/>
        <v>0</v>
      </c>
      <c r="I72" s="102">
        <f t="shared" si="1"/>
        <v>0</v>
      </c>
      <c r="J72" s="102">
        <f t="shared" si="1"/>
        <v>0</v>
      </c>
      <c r="K72" s="102">
        <f t="shared" si="1"/>
        <v>0</v>
      </c>
      <c r="L72" s="102">
        <f t="shared" si="1"/>
        <v>0</v>
      </c>
      <c r="M72" s="102">
        <f t="shared" si="1"/>
        <v>0</v>
      </c>
      <c r="N72" s="102">
        <f t="shared" si="1"/>
        <v>0</v>
      </c>
      <c r="O72" s="102">
        <f t="shared" si="1"/>
        <v>0</v>
      </c>
      <c r="P72" s="102">
        <f t="shared" si="1"/>
        <v>0</v>
      </c>
      <c r="Q72" s="102">
        <f t="shared" si="1"/>
        <v>0</v>
      </c>
      <c r="R72" s="102">
        <f t="shared" si="1"/>
        <v>0</v>
      </c>
      <c r="S72" s="102">
        <f t="shared" si="1"/>
        <v>0</v>
      </c>
      <c r="T72" s="102">
        <f t="shared" si="1"/>
        <v>0</v>
      </c>
      <c r="U72" s="102">
        <f t="shared" si="1"/>
        <v>0</v>
      </c>
      <c r="V72" s="102">
        <f t="shared" si="1"/>
        <v>0</v>
      </c>
      <c r="W72" s="102">
        <f t="shared" si="1"/>
        <v>0</v>
      </c>
      <c r="X72" s="102">
        <f t="shared" si="1"/>
        <v>0</v>
      </c>
      <c r="Y72" s="102">
        <f t="shared" si="1"/>
        <v>0</v>
      </c>
      <c r="Z72" s="102">
        <f t="shared" si="1"/>
        <v>0</v>
      </c>
      <c r="AA72" s="102">
        <f t="shared" si="1"/>
        <v>0</v>
      </c>
      <c r="AB72" s="102">
        <f t="shared" si="1"/>
        <v>416.432</v>
      </c>
      <c r="AC72" s="102">
        <f t="shared" si="1"/>
        <v>650.675</v>
      </c>
      <c r="AD72" s="102">
        <f t="shared" si="1"/>
        <v>1005.867</v>
      </c>
      <c r="AE72" s="102">
        <f t="shared" si="1"/>
        <v>1319.722</v>
      </c>
      <c r="AF72" s="102">
        <f t="shared" si="1"/>
        <v>2591.983</v>
      </c>
      <c r="AG72" s="102">
        <f t="shared" si="1"/>
        <v>3044.5667</v>
      </c>
      <c r="AH72" s="102">
        <f t="shared" si="1"/>
        <v>3780.3223</v>
      </c>
      <c r="AI72" s="102">
        <f t="shared" si="1"/>
        <v>4539.472</v>
      </c>
    </row>
    <row r="73" spans="2:35" ht="12.75">
      <c r="B73" s="101" t="s">
        <v>6</v>
      </c>
      <c r="C73" s="102">
        <f t="shared" si="0"/>
        <v>2168.605</v>
      </c>
      <c r="D73" s="102">
        <f t="shared" si="1"/>
        <v>2671.458</v>
      </c>
      <c r="E73" s="102">
        <f t="shared" si="1"/>
        <v>2420.443</v>
      </c>
      <c r="F73" s="102">
        <f t="shared" si="1"/>
        <v>2594.919</v>
      </c>
      <c r="G73" s="102">
        <f t="shared" si="1"/>
        <v>2363.656</v>
      </c>
      <c r="H73" s="102">
        <f t="shared" si="1"/>
        <v>2382.585</v>
      </c>
      <c r="I73" s="102">
        <f t="shared" si="1"/>
        <v>2473.938</v>
      </c>
      <c r="J73" s="102">
        <f t="shared" si="1"/>
        <v>2613.025</v>
      </c>
      <c r="K73" s="102">
        <f t="shared" si="1"/>
        <v>2273.126</v>
      </c>
      <c r="L73" s="102">
        <f t="shared" si="1"/>
        <v>2436.903</v>
      </c>
      <c r="M73" s="102">
        <f t="shared" si="1"/>
        <v>2616.317</v>
      </c>
      <c r="N73" s="102">
        <f t="shared" si="1"/>
        <v>2247.613</v>
      </c>
      <c r="O73" s="102">
        <f t="shared" si="1"/>
        <v>2556.238</v>
      </c>
      <c r="P73" s="102">
        <f t="shared" si="1"/>
        <v>2581.751</v>
      </c>
      <c r="Q73" s="102">
        <f t="shared" si="1"/>
        <v>2268.188</v>
      </c>
      <c r="R73" s="102">
        <f t="shared" si="1"/>
        <v>2458.301</v>
      </c>
      <c r="S73" s="102">
        <f t="shared" si="1"/>
        <v>2527.433</v>
      </c>
      <c r="T73" s="102">
        <f t="shared" si="1"/>
        <v>2468.177</v>
      </c>
      <c r="U73" s="102">
        <f t="shared" si="1"/>
        <v>2617.963</v>
      </c>
      <c r="V73" s="102">
        <f t="shared" si="1"/>
        <v>2904.367</v>
      </c>
      <c r="W73" s="102">
        <f t="shared" si="1"/>
        <v>2911.774</v>
      </c>
      <c r="X73" s="102">
        <f t="shared" si="1"/>
        <v>2578.459</v>
      </c>
      <c r="Y73" s="102">
        <f t="shared" si="1"/>
        <v>2927.411</v>
      </c>
      <c r="Z73" s="102">
        <f t="shared" si="1"/>
        <v>2392.461</v>
      </c>
      <c r="AA73" s="102">
        <f t="shared" si="1"/>
        <v>2948.809</v>
      </c>
      <c r="AB73" s="102">
        <f t="shared" si="1"/>
        <v>2715.077</v>
      </c>
      <c r="AC73" s="102">
        <f t="shared" si="1"/>
        <v>2612.202</v>
      </c>
      <c r="AD73" s="102">
        <f t="shared" si="1"/>
        <v>2673.927</v>
      </c>
      <c r="AE73" s="102">
        <f t="shared" si="1"/>
        <v>2546.14</v>
      </c>
      <c r="AF73" s="102">
        <f t="shared" si="1"/>
        <v>2784.335</v>
      </c>
      <c r="AG73" s="102">
        <f t="shared" si="1"/>
        <v>2591.926</v>
      </c>
      <c r="AH73" s="102">
        <f t="shared" si="1"/>
        <v>2413.946</v>
      </c>
      <c r="AI73" s="102">
        <f aca="true" t="shared" si="2" ref="D73:AI81">IF(ISERROR(AI42),0,AI42)</f>
        <v>2774.0758</v>
      </c>
    </row>
    <row r="74" spans="2:35" ht="12.75">
      <c r="B74" s="101" t="s">
        <v>7</v>
      </c>
      <c r="C74" s="102">
        <f t="shared" si="0"/>
        <v>6791.82</v>
      </c>
      <c r="D74" s="102">
        <f t="shared" si="2"/>
        <v>8022.567</v>
      </c>
      <c r="E74" s="102">
        <f t="shared" si="2"/>
        <v>7278.495</v>
      </c>
      <c r="F74" s="102">
        <f t="shared" si="2"/>
        <v>7175.7525</v>
      </c>
      <c r="G74" s="102">
        <f t="shared" si="2"/>
        <v>7260.1095</v>
      </c>
      <c r="H74" s="102">
        <f t="shared" si="2"/>
        <v>7381.2375</v>
      </c>
      <c r="I74" s="102">
        <f t="shared" si="2"/>
        <v>7969.5735</v>
      </c>
      <c r="J74" s="102">
        <f t="shared" si="2"/>
        <v>8468.145</v>
      </c>
      <c r="K74" s="102">
        <f t="shared" si="2"/>
        <v>8096.109</v>
      </c>
      <c r="L74" s="102">
        <f t="shared" si="2"/>
        <v>7534.8105</v>
      </c>
      <c r="M74" s="102">
        <f t="shared" si="2"/>
        <v>9006.732</v>
      </c>
      <c r="N74" s="102">
        <f t="shared" si="2"/>
        <v>8599.0065</v>
      </c>
      <c r="O74" s="102">
        <f t="shared" si="2"/>
        <v>9237.0915</v>
      </c>
      <c r="P74" s="102">
        <f t="shared" si="2"/>
        <v>8285.3715</v>
      </c>
      <c r="Q74" s="102">
        <f t="shared" si="2"/>
        <v>7875.483</v>
      </c>
      <c r="R74" s="102">
        <f t="shared" si="2"/>
        <v>8949.4125</v>
      </c>
      <c r="S74" s="102">
        <f t="shared" si="2"/>
        <v>7813.8375</v>
      </c>
      <c r="T74" s="102">
        <f t="shared" si="2"/>
        <v>7929.558</v>
      </c>
      <c r="U74" s="102">
        <f t="shared" si="2"/>
        <v>8047.4415</v>
      </c>
      <c r="V74" s="102">
        <f t="shared" si="2"/>
        <v>7499.121</v>
      </c>
      <c r="W74" s="102">
        <f t="shared" si="2"/>
        <v>7707.8505</v>
      </c>
      <c r="X74" s="102">
        <f t="shared" si="2"/>
        <v>7254.702</v>
      </c>
      <c r="Y74" s="102">
        <f t="shared" si="2"/>
        <v>7536.9735</v>
      </c>
      <c r="Z74" s="102">
        <f t="shared" si="2"/>
        <v>6872.9325</v>
      </c>
      <c r="AA74" s="102">
        <f t="shared" si="2"/>
        <v>7818.1635</v>
      </c>
      <c r="AB74" s="102">
        <f t="shared" si="2"/>
        <v>7305.5325</v>
      </c>
      <c r="AC74" s="102">
        <f t="shared" si="2"/>
        <v>6692.322</v>
      </c>
      <c r="AD74" s="102">
        <f t="shared" si="2"/>
        <v>7031.913</v>
      </c>
      <c r="AE74" s="102">
        <f t="shared" si="2"/>
        <v>7022.3385</v>
      </c>
      <c r="AF74" s="102">
        <f t="shared" si="2"/>
        <v>7563.0205</v>
      </c>
      <c r="AG74" s="102">
        <f t="shared" si="2"/>
        <v>7084.766</v>
      </c>
      <c r="AH74" s="102">
        <f t="shared" si="2"/>
        <v>6748.294</v>
      </c>
      <c r="AI74" s="102">
        <f t="shared" si="2"/>
        <v>7467.031</v>
      </c>
    </row>
    <row r="75" spans="2:35" ht="12.75">
      <c r="B75" s="101" t="s">
        <v>8</v>
      </c>
      <c r="C75" s="102">
        <f aca="true" t="shared" si="3" ref="C75:C83">IF(ISERROR(C44),0,C44)</f>
        <v>7738.905</v>
      </c>
      <c r="D75" s="102">
        <f t="shared" si="2"/>
        <v>9806.115</v>
      </c>
      <c r="E75" s="102">
        <f t="shared" si="2"/>
        <v>8611.83</v>
      </c>
      <c r="F75" s="102">
        <f t="shared" si="2"/>
        <v>8981.085</v>
      </c>
      <c r="G75" s="102">
        <f t="shared" si="2"/>
        <v>9375.06</v>
      </c>
      <c r="H75" s="102">
        <f t="shared" si="2"/>
        <v>9293.175</v>
      </c>
      <c r="I75" s="102">
        <f t="shared" si="2"/>
        <v>9497.115</v>
      </c>
      <c r="J75" s="102">
        <f t="shared" si="2"/>
        <v>9897.27</v>
      </c>
      <c r="K75" s="102">
        <f t="shared" si="2"/>
        <v>9452.31</v>
      </c>
      <c r="L75" s="102">
        <f t="shared" si="2"/>
        <v>8871.39</v>
      </c>
      <c r="M75" s="102">
        <f t="shared" si="2"/>
        <v>11025.12</v>
      </c>
      <c r="N75" s="102">
        <f t="shared" si="2"/>
        <v>9563.55</v>
      </c>
      <c r="O75" s="102">
        <f t="shared" si="2"/>
        <v>10784.1</v>
      </c>
      <c r="P75" s="102">
        <f t="shared" si="2"/>
        <v>9996.15</v>
      </c>
      <c r="Q75" s="102">
        <f t="shared" si="2"/>
        <v>9540.375</v>
      </c>
      <c r="R75" s="102">
        <f t="shared" si="2"/>
        <v>9921.99</v>
      </c>
      <c r="S75" s="102">
        <f t="shared" si="2"/>
        <v>9625.35</v>
      </c>
      <c r="T75" s="102">
        <f t="shared" si="2"/>
        <v>9801.48</v>
      </c>
      <c r="U75" s="102">
        <f t="shared" si="2"/>
        <v>9892.635</v>
      </c>
      <c r="V75" s="102">
        <f t="shared" si="2"/>
        <v>9849.375</v>
      </c>
      <c r="W75" s="102">
        <f t="shared" si="2"/>
        <v>10061.04</v>
      </c>
      <c r="X75" s="102">
        <f t="shared" si="2"/>
        <v>9291.63</v>
      </c>
      <c r="Y75" s="102">
        <f t="shared" si="2"/>
        <v>10078.035</v>
      </c>
      <c r="Z75" s="102">
        <f t="shared" si="2"/>
        <v>8672.085</v>
      </c>
      <c r="AA75" s="102">
        <f t="shared" si="2"/>
        <v>9747.405</v>
      </c>
      <c r="AB75" s="102">
        <f t="shared" si="2"/>
        <v>9807.66</v>
      </c>
      <c r="AC75" s="102">
        <f t="shared" si="2"/>
        <v>8965.635</v>
      </c>
      <c r="AD75" s="102">
        <f t="shared" si="2"/>
        <v>9689.3486</v>
      </c>
      <c r="AE75" s="102">
        <f t="shared" si="2"/>
        <v>8495.8376</v>
      </c>
      <c r="AF75" s="102">
        <f t="shared" si="2"/>
        <v>9444.4933</v>
      </c>
      <c r="AG75" s="102">
        <f t="shared" si="2"/>
        <v>9058.5438</v>
      </c>
      <c r="AH75" s="102">
        <f t="shared" si="2"/>
        <v>9171.1147</v>
      </c>
      <c r="AI75" s="102">
        <f t="shared" si="2"/>
        <v>9805.0362</v>
      </c>
    </row>
    <row r="76" spans="2:35" ht="12.75">
      <c r="B76" s="101" t="s">
        <v>9</v>
      </c>
      <c r="C76" s="102">
        <f t="shared" si="3"/>
        <v>33111.284</v>
      </c>
      <c r="D76" s="102">
        <f t="shared" si="2"/>
        <v>41258.184</v>
      </c>
      <c r="E76" s="102">
        <f t="shared" si="2"/>
        <v>38065.36</v>
      </c>
      <c r="F76" s="102">
        <f t="shared" si="2"/>
        <v>37392.052</v>
      </c>
      <c r="G76" s="102">
        <f t="shared" si="2"/>
        <v>37946.168</v>
      </c>
      <c r="H76" s="102">
        <f t="shared" si="2"/>
        <v>37735.68</v>
      </c>
      <c r="I76" s="102">
        <f t="shared" si="2"/>
        <v>40730.696</v>
      </c>
      <c r="J76" s="102">
        <f t="shared" si="2"/>
        <v>40885.392</v>
      </c>
      <c r="K76" s="102">
        <f t="shared" si="2"/>
        <v>40771.272</v>
      </c>
      <c r="L76" s="102">
        <f t="shared" si="2"/>
        <v>38406.452</v>
      </c>
      <c r="M76" s="102">
        <f t="shared" si="2"/>
        <v>45703.792</v>
      </c>
      <c r="N76" s="102">
        <f t="shared" si="2"/>
        <v>42076.044</v>
      </c>
      <c r="O76" s="102">
        <f t="shared" si="2"/>
        <v>45949.784</v>
      </c>
      <c r="P76" s="102">
        <f t="shared" si="2"/>
        <v>43344.044</v>
      </c>
      <c r="Q76" s="102">
        <f t="shared" si="2"/>
        <v>41250.576</v>
      </c>
      <c r="R76" s="102">
        <f t="shared" si="2"/>
        <v>43086.64</v>
      </c>
      <c r="S76" s="102">
        <f t="shared" si="2"/>
        <v>44775.616</v>
      </c>
      <c r="T76" s="102">
        <f t="shared" si="2"/>
        <v>42212.988</v>
      </c>
      <c r="U76" s="102">
        <f t="shared" si="2"/>
        <v>44506.8</v>
      </c>
      <c r="V76" s="102">
        <f t="shared" si="2"/>
        <v>44212.624</v>
      </c>
      <c r="W76" s="102">
        <f t="shared" si="2"/>
        <v>42333.448</v>
      </c>
      <c r="X76" s="102">
        <f t="shared" si="2"/>
        <v>40421.304</v>
      </c>
      <c r="Y76" s="102">
        <f t="shared" si="2"/>
        <v>45220.684</v>
      </c>
      <c r="Z76" s="102">
        <f t="shared" si="2"/>
        <v>38515.5</v>
      </c>
      <c r="AA76" s="102">
        <f t="shared" si="2"/>
        <v>45100.224</v>
      </c>
      <c r="AB76" s="102">
        <f t="shared" si="2"/>
        <v>40033.136</v>
      </c>
      <c r="AC76" s="102">
        <f t="shared" si="2"/>
        <v>37923.6</v>
      </c>
      <c r="AD76" s="102">
        <f t="shared" si="2"/>
        <v>40555.944</v>
      </c>
      <c r="AE76" s="102">
        <f t="shared" si="2"/>
        <v>37335.584</v>
      </c>
      <c r="AF76" s="102">
        <f t="shared" si="2"/>
        <v>40556.678</v>
      </c>
      <c r="AG76" s="102">
        <f t="shared" si="2"/>
        <v>37701.2935</v>
      </c>
      <c r="AH76" s="102">
        <f t="shared" si="2"/>
        <v>30521.655</v>
      </c>
      <c r="AI76" s="102">
        <f t="shared" si="2"/>
        <v>34276.2215</v>
      </c>
    </row>
    <row r="77" spans="2:35" ht="12.75">
      <c r="B77" s="101" t="s">
        <v>10</v>
      </c>
      <c r="C77" s="102">
        <f t="shared" si="3"/>
        <v>22112.343</v>
      </c>
      <c r="D77" s="102">
        <f t="shared" si="2"/>
        <v>26450.5615</v>
      </c>
      <c r="E77" s="102">
        <f t="shared" si="2"/>
        <v>23389.3275</v>
      </c>
      <c r="F77" s="102">
        <f t="shared" si="2"/>
        <v>25777.884</v>
      </c>
      <c r="G77" s="102">
        <f t="shared" si="2"/>
        <v>26726.249</v>
      </c>
      <c r="H77" s="102">
        <f t="shared" si="2"/>
        <v>26649.0565</v>
      </c>
      <c r="I77" s="102">
        <f t="shared" si="2"/>
        <v>27387.899</v>
      </c>
      <c r="J77" s="102">
        <f t="shared" si="2"/>
        <v>30045.5265</v>
      </c>
      <c r="K77" s="102">
        <f t="shared" si="2"/>
        <v>28113.5085</v>
      </c>
      <c r="L77" s="102">
        <f t="shared" si="2"/>
        <v>25826.405</v>
      </c>
      <c r="M77" s="102">
        <f t="shared" si="2"/>
        <v>30696.149</v>
      </c>
      <c r="N77" s="102">
        <f t="shared" si="2"/>
        <v>29588.988</v>
      </c>
      <c r="O77" s="102">
        <f t="shared" si="2"/>
        <v>30116.1025</v>
      </c>
      <c r="P77" s="102">
        <f t="shared" si="2"/>
        <v>31161.5095</v>
      </c>
      <c r="Q77" s="102">
        <f t="shared" si="2"/>
        <v>28720.021</v>
      </c>
      <c r="R77" s="102">
        <f t="shared" si="2"/>
        <v>31011.5355</v>
      </c>
      <c r="S77" s="102">
        <f t="shared" si="2"/>
        <v>28797.2135</v>
      </c>
      <c r="T77" s="102">
        <f t="shared" si="2"/>
        <v>28217.167</v>
      </c>
      <c r="U77" s="102">
        <f t="shared" si="2"/>
        <v>28686.9385</v>
      </c>
      <c r="V77" s="102">
        <f t="shared" si="2"/>
        <v>29922.0185</v>
      </c>
      <c r="W77" s="102">
        <f t="shared" si="2"/>
        <v>29278.0125</v>
      </c>
      <c r="X77" s="102">
        <f t="shared" si="2"/>
        <v>27652.559</v>
      </c>
      <c r="Y77" s="102">
        <f t="shared" si="2"/>
        <v>30918.9045</v>
      </c>
      <c r="Z77" s="102">
        <f t="shared" si="2"/>
        <v>26439.534</v>
      </c>
      <c r="AA77" s="102">
        <f t="shared" si="2"/>
        <v>30771.136</v>
      </c>
      <c r="AB77" s="102">
        <f t="shared" si="2"/>
        <v>27243.756</v>
      </c>
      <c r="AC77" s="102">
        <f t="shared" si="2"/>
        <v>24695.1855</v>
      </c>
      <c r="AD77" s="102">
        <f t="shared" si="2"/>
        <v>27593.757</v>
      </c>
      <c r="AE77" s="102">
        <f t="shared" si="2"/>
        <v>25829.6715</v>
      </c>
      <c r="AF77" s="102">
        <f t="shared" si="2"/>
        <v>27571.6011</v>
      </c>
      <c r="AG77" s="102">
        <f t="shared" si="2"/>
        <v>26723.0032</v>
      </c>
      <c r="AH77" s="102">
        <f t="shared" si="2"/>
        <v>23971.3378</v>
      </c>
      <c r="AI77" s="102">
        <f t="shared" si="2"/>
        <v>27539.6669</v>
      </c>
    </row>
    <row r="78" spans="2:35" ht="12.75">
      <c r="B78" s="101" t="s">
        <v>11</v>
      </c>
      <c r="C78" s="102">
        <f t="shared" si="3"/>
        <v>24836.091</v>
      </c>
      <c r="D78" s="102">
        <f t="shared" si="2"/>
        <v>29831.2575</v>
      </c>
      <c r="E78" s="102">
        <f t="shared" si="2"/>
        <v>26520.0945</v>
      </c>
      <c r="F78" s="102">
        <f t="shared" si="2"/>
        <v>27401.1765</v>
      </c>
      <c r="G78" s="102">
        <f t="shared" si="2"/>
        <v>26844.579</v>
      </c>
      <c r="H78" s="102">
        <f t="shared" si="2"/>
        <v>26167.188</v>
      </c>
      <c r="I78" s="102">
        <f t="shared" si="2"/>
        <v>27943.563</v>
      </c>
      <c r="J78" s="102">
        <f t="shared" si="2"/>
        <v>27680.6595</v>
      </c>
      <c r="K78" s="102">
        <f t="shared" si="2"/>
        <v>27128.799</v>
      </c>
      <c r="L78" s="102">
        <f t="shared" si="2"/>
        <v>24779.247</v>
      </c>
      <c r="M78" s="102">
        <f t="shared" si="2"/>
        <v>29499.6675</v>
      </c>
      <c r="N78" s="102">
        <f t="shared" si="2"/>
        <v>26662.2045</v>
      </c>
      <c r="O78" s="102">
        <f t="shared" si="2"/>
        <v>28116.4635</v>
      </c>
      <c r="P78" s="102">
        <f t="shared" si="2"/>
        <v>27690.1335</v>
      </c>
      <c r="Q78" s="102">
        <f t="shared" si="2"/>
        <v>26325.8775</v>
      </c>
      <c r="R78" s="102">
        <f t="shared" si="2"/>
        <v>28855.4355</v>
      </c>
      <c r="S78" s="102">
        <f t="shared" si="2"/>
        <v>28166.202</v>
      </c>
      <c r="T78" s="102">
        <f t="shared" si="2"/>
        <v>26719.0485</v>
      </c>
      <c r="U78" s="102">
        <f t="shared" si="2"/>
        <v>29547.0375</v>
      </c>
      <c r="V78" s="102">
        <f t="shared" si="2"/>
        <v>28294.101</v>
      </c>
      <c r="W78" s="102">
        <f t="shared" si="2"/>
        <v>28320.1545</v>
      </c>
      <c r="X78" s="102">
        <f t="shared" si="2"/>
        <v>26778.261</v>
      </c>
      <c r="Y78" s="102">
        <f t="shared" si="2"/>
        <v>29468.877</v>
      </c>
      <c r="Z78" s="102">
        <f t="shared" si="2"/>
        <v>25795.3335</v>
      </c>
      <c r="AA78" s="102">
        <f t="shared" si="2"/>
        <v>29994.684</v>
      </c>
      <c r="AB78" s="102">
        <f t="shared" si="2"/>
        <v>26638.352</v>
      </c>
      <c r="AC78" s="102">
        <f t="shared" si="2"/>
        <v>24952.954</v>
      </c>
      <c r="AD78" s="102">
        <f t="shared" si="2"/>
        <v>26690.144</v>
      </c>
      <c r="AE78" s="102">
        <f t="shared" si="2"/>
        <v>25421.24</v>
      </c>
      <c r="AF78" s="102">
        <f t="shared" si="2"/>
        <v>27387.1188</v>
      </c>
      <c r="AG78" s="102">
        <f t="shared" si="2"/>
        <v>25132.7691</v>
      </c>
      <c r="AH78" s="102">
        <f t="shared" si="2"/>
        <v>23970.0325</v>
      </c>
      <c r="AI78" s="102">
        <f t="shared" si="2"/>
        <v>28290.3485</v>
      </c>
    </row>
    <row r="79" spans="2:35" ht="12.75">
      <c r="B79" s="101" t="s">
        <v>12</v>
      </c>
      <c r="C79" s="102">
        <f t="shared" si="3"/>
        <v>1053.9825</v>
      </c>
      <c r="D79" s="102">
        <f t="shared" si="2"/>
        <v>1693.4775</v>
      </c>
      <c r="E79" s="102">
        <f t="shared" si="2"/>
        <v>1193.724</v>
      </c>
      <c r="F79" s="102">
        <f t="shared" si="2"/>
        <v>1335.834</v>
      </c>
      <c r="G79" s="102">
        <f t="shared" si="2"/>
        <v>1601.106</v>
      </c>
      <c r="H79" s="102">
        <f t="shared" si="2"/>
        <v>1570.3155</v>
      </c>
      <c r="I79" s="102">
        <f t="shared" si="2"/>
        <v>2025.0675</v>
      </c>
      <c r="J79" s="102">
        <f t="shared" si="2"/>
        <v>2105.5965</v>
      </c>
      <c r="K79" s="102">
        <f t="shared" si="2"/>
        <v>2257.1805</v>
      </c>
      <c r="L79" s="102">
        <f t="shared" si="2"/>
        <v>2290.3395</v>
      </c>
      <c r="M79" s="102">
        <f t="shared" si="2"/>
        <v>2292.708</v>
      </c>
      <c r="N79" s="102">
        <f t="shared" si="2"/>
        <v>2967.7305</v>
      </c>
      <c r="O79" s="102">
        <f t="shared" si="2"/>
        <v>2463.24</v>
      </c>
      <c r="P79" s="102">
        <f t="shared" si="2"/>
        <v>2370.8685</v>
      </c>
      <c r="Q79" s="102">
        <f t="shared" si="2"/>
        <v>2368.5</v>
      </c>
      <c r="R79" s="102">
        <f t="shared" si="2"/>
        <v>2340.078</v>
      </c>
      <c r="S79" s="102">
        <f t="shared" si="2"/>
        <v>2576.928</v>
      </c>
      <c r="T79" s="102">
        <f t="shared" si="2"/>
        <v>2167.1775</v>
      </c>
      <c r="U79" s="102">
        <f t="shared" si="2"/>
        <v>2155.335</v>
      </c>
      <c r="V79" s="102">
        <f t="shared" si="2"/>
        <v>2074.806</v>
      </c>
      <c r="W79" s="102">
        <f t="shared" si="2"/>
        <v>2186.1255</v>
      </c>
      <c r="X79" s="102">
        <f t="shared" si="2"/>
        <v>2150.598</v>
      </c>
      <c r="Y79" s="102">
        <f t="shared" si="2"/>
        <v>2058.2265</v>
      </c>
      <c r="Z79" s="102">
        <f t="shared" si="2"/>
        <v>2074.806</v>
      </c>
      <c r="AA79" s="102">
        <f t="shared" si="2"/>
        <v>2219.2845</v>
      </c>
      <c r="AB79" s="102">
        <f t="shared" si="2"/>
        <v>2136.42</v>
      </c>
      <c r="AC79" s="102">
        <f t="shared" si="2"/>
        <v>2063.048</v>
      </c>
      <c r="AD79" s="102">
        <f t="shared" si="2"/>
        <v>2606.864</v>
      </c>
      <c r="AE79" s="102">
        <f t="shared" si="2"/>
        <v>2591.758</v>
      </c>
      <c r="AF79" s="102">
        <f t="shared" si="2"/>
        <v>2723.396</v>
      </c>
      <c r="AG79" s="102">
        <f t="shared" si="2"/>
        <v>2861.508</v>
      </c>
      <c r="AH79" s="102">
        <f t="shared" si="2"/>
        <v>2962.934</v>
      </c>
      <c r="AI79" s="102">
        <f t="shared" si="2"/>
        <v>4164.94</v>
      </c>
    </row>
    <row r="80" spans="2:35" ht="12.75">
      <c r="B80" s="101" t="s">
        <v>13</v>
      </c>
      <c r="C80" s="102">
        <f t="shared" si="3"/>
        <v>0</v>
      </c>
      <c r="D80" s="102">
        <f t="shared" si="2"/>
        <v>0</v>
      </c>
      <c r="E80" s="102">
        <f t="shared" si="2"/>
        <v>0</v>
      </c>
      <c r="F80" s="102">
        <f t="shared" si="2"/>
        <v>0</v>
      </c>
      <c r="G80" s="102">
        <f t="shared" si="2"/>
        <v>0</v>
      </c>
      <c r="H80" s="102">
        <f t="shared" si="2"/>
        <v>0</v>
      </c>
      <c r="I80" s="102">
        <f t="shared" si="2"/>
        <v>0</v>
      </c>
      <c r="J80" s="102">
        <f t="shared" si="2"/>
        <v>0</v>
      </c>
      <c r="K80" s="102">
        <f t="shared" si="2"/>
        <v>0</v>
      </c>
      <c r="L80" s="102">
        <f t="shared" si="2"/>
        <v>0</v>
      </c>
      <c r="M80" s="102">
        <f t="shared" si="2"/>
        <v>0</v>
      </c>
      <c r="N80" s="102">
        <f t="shared" si="2"/>
        <v>0</v>
      </c>
      <c r="O80" s="102">
        <f t="shared" si="2"/>
        <v>0</v>
      </c>
      <c r="P80" s="102">
        <f t="shared" si="2"/>
        <v>0</v>
      </c>
      <c r="Q80" s="102">
        <f t="shared" si="2"/>
        <v>0</v>
      </c>
      <c r="R80" s="102">
        <f t="shared" si="2"/>
        <v>0</v>
      </c>
      <c r="S80" s="102">
        <f t="shared" si="2"/>
        <v>0</v>
      </c>
      <c r="T80" s="102">
        <f t="shared" si="2"/>
        <v>0</v>
      </c>
      <c r="U80" s="102">
        <f t="shared" si="2"/>
        <v>0</v>
      </c>
      <c r="V80" s="102">
        <f t="shared" si="2"/>
        <v>0</v>
      </c>
      <c r="W80" s="102">
        <f t="shared" si="2"/>
        <v>0</v>
      </c>
      <c r="X80" s="102">
        <f t="shared" si="2"/>
        <v>1542.6225</v>
      </c>
      <c r="Y80" s="102">
        <f t="shared" si="2"/>
        <v>3842.8755</v>
      </c>
      <c r="Z80" s="102">
        <f t="shared" si="2"/>
        <v>5005.2675</v>
      </c>
      <c r="AA80" s="102">
        <f t="shared" si="2"/>
        <v>7142.295</v>
      </c>
      <c r="AB80" s="102">
        <f t="shared" si="2"/>
        <v>8441.4945</v>
      </c>
      <c r="AC80" s="102">
        <f t="shared" si="2"/>
        <v>8737.6329</v>
      </c>
      <c r="AD80" s="102">
        <f t="shared" si="2"/>
        <v>9769.7416</v>
      </c>
      <c r="AE80" s="102">
        <f t="shared" si="2"/>
        <v>10081.7635</v>
      </c>
      <c r="AF80" s="102">
        <f t="shared" si="2"/>
        <v>11990.7219</v>
      </c>
      <c r="AG80" s="102">
        <f t="shared" si="2"/>
        <v>12531.1465</v>
      </c>
      <c r="AH80" s="102">
        <f t="shared" si="2"/>
        <v>11838.7099</v>
      </c>
      <c r="AI80" s="102">
        <f t="shared" si="2"/>
        <v>15156.718</v>
      </c>
    </row>
    <row r="81" spans="2:35" ht="12.75">
      <c r="B81" s="101" t="s">
        <v>14</v>
      </c>
      <c r="C81" s="102">
        <f t="shared" si="3"/>
        <v>5705.4825</v>
      </c>
      <c r="D81" s="102">
        <f t="shared" si="2"/>
        <v>9979.4475</v>
      </c>
      <c r="E81" s="102">
        <f t="shared" si="2"/>
        <v>10893.5325</v>
      </c>
      <c r="F81" s="102">
        <f t="shared" si="2"/>
        <v>10742.5575</v>
      </c>
      <c r="G81" s="102">
        <f t="shared" si="2"/>
        <v>11421.945</v>
      </c>
      <c r="H81" s="102">
        <f t="shared" si="2"/>
        <v>10796.085</v>
      </c>
      <c r="I81" s="102">
        <f t="shared" si="2"/>
        <v>10634.13</v>
      </c>
      <c r="J81" s="102">
        <f t="shared" si="2"/>
        <v>10337.67</v>
      </c>
      <c r="K81" s="102">
        <f t="shared" si="2"/>
        <v>10490.0175</v>
      </c>
      <c r="L81" s="102">
        <f t="shared" si="2"/>
        <v>10704.1275</v>
      </c>
      <c r="M81" s="102">
        <f t="shared" si="2"/>
        <v>12839.7375</v>
      </c>
      <c r="N81" s="102">
        <f t="shared" si="2"/>
        <v>12957.7725</v>
      </c>
      <c r="O81" s="102">
        <f t="shared" si="2"/>
        <v>14553.99</v>
      </c>
      <c r="P81" s="102">
        <f t="shared" si="2"/>
        <v>15333.57</v>
      </c>
      <c r="Q81" s="102">
        <f t="shared" si="2"/>
        <v>14312.43</v>
      </c>
      <c r="R81" s="102">
        <f t="shared" si="2"/>
        <v>15790.6125</v>
      </c>
      <c r="S81" s="102">
        <f t="shared" si="2"/>
        <v>16017.075</v>
      </c>
      <c r="T81" s="102">
        <f t="shared" si="2"/>
        <v>15584.7375</v>
      </c>
      <c r="U81" s="102">
        <f t="shared" si="2"/>
        <v>16830.9675</v>
      </c>
      <c r="V81" s="102">
        <f t="shared" si="2"/>
        <v>17528.1975</v>
      </c>
      <c r="W81" s="102">
        <f t="shared" si="2"/>
        <v>17728.5825</v>
      </c>
      <c r="X81" s="102">
        <f t="shared" si="2"/>
        <v>17231.7375</v>
      </c>
      <c r="Y81" s="102">
        <f t="shared" si="2"/>
        <v>20005.56</v>
      </c>
      <c r="Z81" s="102">
        <f t="shared" si="2"/>
        <v>17130.1725</v>
      </c>
      <c r="AA81" s="102">
        <f t="shared" si="2"/>
        <v>19372.8375</v>
      </c>
      <c r="AB81" s="102">
        <f t="shared" si="2"/>
        <v>20977.29</v>
      </c>
      <c r="AC81" s="102">
        <f t="shared" si="2"/>
        <v>18716.7825</v>
      </c>
      <c r="AD81" s="102">
        <f t="shared" si="2"/>
        <v>21519.4275</v>
      </c>
      <c r="AE81" s="102">
        <f t="shared" si="2"/>
        <v>19724.1975</v>
      </c>
      <c r="AF81" s="102">
        <f t="shared" si="2"/>
        <v>22540.5675</v>
      </c>
      <c r="AG81" s="102">
        <f t="shared" si="2"/>
        <v>20505.15</v>
      </c>
      <c r="AH81" s="102">
        <f aca="true" t="shared" si="4" ref="D81:AI89">IF(ISERROR(AH50),0,AH50)</f>
        <v>19884.78</v>
      </c>
      <c r="AI81" s="102">
        <f t="shared" si="4"/>
        <v>22998.9825</v>
      </c>
    </row>
    <row r="82" spans="2:35" ht="12.75">
      <c r="B82" s="101" t="s">
        <v>15</v>
      </c>
      <c r="C82" s="102">
        <f t="shared" si="3"/>
        <v>584.586</v>
      </c>
      <c r="D82" s="102">
        <f t="shared" si="4"/>
        <v>1094.544</v>
      </c>
      <c r="E82" s="102">
        <f t="shared" si="4"/>
        <v>899.682</v>
      </c>
      <c r="F82" s="102">
        <f t="shared" si="4"/>
        <v>1185.756</v>
      </c>
      <c r="G82" s="102">
        <f t="shared" si="4"/>
        <v>1405.494</v>
      </c>
      <c r="H82" s="102">
        <f t="shared" si="4"/>
        <v>1403.421</v>
      </c>
      <c r="I82" s="102">
        <f t="shared" si="4"/>
        <v>1540.239</v>
      </c>
      <c r="J82" s="102">
        <f t="shared" si="4"/>
        <v>1759.977</v>
      </c>
      <c r="K82" s="102">
        <f t="shared" si="4"/>
        <v>1587.918</v>
      </c>
      <c r="L82" s="102">
        <f t="shared" si="4"/>
        <v>1720.59</v>
      </c>
      <c r="M82" s="102">
        <f t="shared" si="4"/>
        <v>2211.891</v>
      </c>
      <c r="N82" s="102">
        <f t="shared" si="4"/>
        <v>1886.43</v>
      </c>
      <c r="O82" s="102">
        <f t="shared" si="4"/>
        <v>2234.694</v>
      </c>
      <c r="P82" s="102">
        <f t="shared" si="4"/>
        <v>2365.293</v>
      </c>
      <c r="Q82" s="102">
        <f t="shared" si="4"/>
        <v>2296.884</v>
      </c>
      <c r="R82" s="102">
        <f t="shared" si="4"/>
        <v>2319.687</v>
      </c>
      <c r="S82" s="102">
        <f t="shared" si="4"/>
        <v>2251.278</v>
      </c>
      <c r="T82" s="102">
        <f t="shared" si="4"/>
        <v>2228.475</v>
      </c>
      <c r="U82" s="102">
        <f t="shared" si="4"/>
        <v>2701.119</v>
      </c>
      <c r="V82" s="102">
        <f t="shared" si="4"/>
        <v>2800.623</v>
      </c>
      <c r="W82" s="102">
        <f t="shared" si="4"/>
        <v>2821.353</v>
      </c>
      <c r="X82" s="102">
        <f t="shared" si="4"/>
        <v>2840.01</v>
      </c>
      <c r="Y82" s="102">
        <f t="shared" si="4"/>
        <v>2763.309</v>
      </c>
      <c r="Z82" s="102">
        <f t="shared" si="4"/>
        <v>2643.075</v>
      </c>
      <c r="AA82" s="102">
        <f t="shared" si="4"/>
        <v>3132.303</v>
      </c>
      <c r="AB82" s="102">
        <f t="shared" si="4"/>
        <v>3341.676</v>
      </c>
      <c r="AC82" s="102">
        <f t="shared" si="4"/>
        <v>2933.295</v>
      </c>
      <c r="AD82" s="102">
        <f t="shared" si="4"/>
        <v>3806.028</v>
      </c>
      <c r="AE82" s="102">
        <f t="shared" si="4"/>
        <v>3153.033</v>
      </c>
      <c r="AF82" s="102">
        <f t="shared" si="4"/>
        <v>4042.35</v>
      </c>
      <c r="AG82" s="102">
        <f t="shared" si="4"/>
        <v>3493.005</v>
      </c>
      <c r="AH82" s="102">
        <f t="shared" si="4"/>
        <v>3797.736</v>
      </c>
      <c r="AI82" s="102">
        <f t="shared" si="4"/>
        <v>4172.949</v>
      </c>
    </row>
    <row r="83" spans="2:35" ht="12.75">
      <c r="B83" s="101" t="s">
        <v>16</v>
      </c>
      <c r="C83" s="102">
        <f t="shared" si="3"/>
        <v>0</v>
      </c>
      <c r="D83" s="102">
        <f t="shared" si="4"/>
        <v>0</v>
      </c>
      <c r="E83" s="102">
        <f t="shared" si="4"/>
        <v>0</v>
      </c>
      <c r="F83" s="102">
        <f t="shared" si="4"/>
        <v>0</v>
      </c>
      <c r="G83" s="102">
        <f t="shared" si="4"/>
        <v>0</v>
      </c>
      <c r="H83" s="102">
        <f t="shared" si="4"/>
        <v>0</v>
      </c>
      <c r="I83" s="102">
        <f t="shared" si="4"/>
        <v>0</v>
      </c>
      <c r="J83" s="102">
        <f t="shared" si="4"/>
        <v>0</v>
      </c>
      <c r="K83" s="102">
        <f t="shared" si="4"/>
        <v>1053.3185</v>
      </c>
      <c r="L83" s="102">
        <f t="shared" si="4"/>
        <v>2810.353</v>
      </c>
      <c r="M83" s="102">
        <f t="shared" si="4"/>
        <v>6428.175</v>
      </c>
      <c r="N83" s="102">
        <f t="shared" si="4"/>
        <v>7925.827</v>
      </c>
      <c r="O83" s="102">
        <f t="shared" si="4"/>
        <v>10666.2595</v>
      </c>
      <c r="P83" s="102">
        <f t="shared" si="4"/>
        <v>11875.2075</v>
      </c>
      <c r="Q83" s="102">
        <f t="shared" si="4"/>
        <v>12227.0655</v>
      </c>
      <c r="R83" s="102">
        <f t="shared" si="4"/>
        <v>13528.489</v>
      </c>
      <c r="S83" s="102">
        <f t="shared" si="4"/>
        <v>15366.7215</v>
      </c>
      <c r="T83" s="102">
        <f t="shared" si="4"/>
        <v>16156.1465</v>
      </c>
      <c r="U83" s="102">
        <f t="shared" si="4"/>
        <v>16812.497</v>
      </c>
      <c r="V83" s="102">
        <f t="shared" si="4"/>
        <v>18707.117</v>
      </c>
      <c r="W83" s="102">
        <f t="shared" si="4"/>
        <v>19519.097</v>
      </c>
      <c r="X83" s="102">
        <f t="shared" si="4"/>
        <v>20069.439</v>
      </c>
      <c r="Y83" s="102">
        <f t="shared" si="4"/>
        <v>22236.9745</v>
      </c>
      <c r="Z83" s="102">
        <f t="shared" si="4"/>
        <v>19764.9465</v>
      </c>
      <c r="AA83" s="102">
        <f t="shared" si="4"/>
        <v>22469.291</v>
      </c>
      <c r="AB83" s="102">
        <f t="shared" si="4"/>
        <v>23554.1865</v>
      </c>
      <c r="AC83" s="102">
        <f t="shared" si="4"/>
        <v>21934.7375</v>
      </c>
      <c r="AD83" s="102">
        <f t="shared" si="4"/>
        <v>23680.4945</v>
      </c>
      <c r="AE83" s="102">
        <f t="shared" si="4"/>
        <v>21761.064</v>
      </c>
      <c r="AF83" s="102">
        <f t="shared" si="4"/>
        <v>24900.72</v>
      </c>
      <c r="AG83" s="102">
        <f t="shared" si="4"/>
        <v>23355.7025</v>
      </c>
      <c r="AH83" s="102">
        <f t="shared" si="4"/>
        <v>21332.519</v>
      </c>
      <c r="AI83" s="102">
        <f t="shared" si="4"/>
        <v>25121.759</v>
      </c>
    </row>
    <row r="84" spans="2:35" ht="12.75">
      <c r="B84" s="101" t="s">
        <v>17</v>
      </c>
      <c r="C84" s="102">
        <f aca="true" t="shared" si="5" ref="C84:C92">IF(ISERROR(C53),0,C53)</f>
        <v>0</v>
      </c>
      <c r="D84" s="102">
        <f t="shared" si="4"/>
        <v>0</v>
      </c>
      <c r="E84" s="102">
        <f t="shared" si="4"/>
        <v>0</v>
      </c>
      <c r="F84" s="102">
        <f t="shared" si="4"/>
        <v>0</v>
      </c>
      <c r="G84" s="102">
        <f t="shared" si="4"/>
        <v>0</v>
      </c>
      <c r="H84" s="102">
        <f t="shared" si="4"/>
        <v>0</v>
      </c>
      <c r="I84" s="102">
        <f t="shared" si="4"/>
        <v>0</v>
      </c>
      <c r="J84" s="102">
        <f t="shared" si="4"/>
        <v>0</v>
      </c>
      <c r="K84" s="102">
        <f t="shared" si="4"/>
        <v>0</v>
      </c>
      <c r="L84" s="102">
        <f t="shared" si="4"/>
        <v>0</v>
      </c>
      <c r="M84" s="102">
        <f t="shared" si="4"/>
        <v>0</v>
      </c>
      <c r="N84" s="102">
        <f t="shared" si="4"/>
        <v>0</v>
      </c>
      <c r="O84" s="102">
        <f t="shared" si="4"/>
        <v>0</v>
      </c>
      <c r="P84" s="102">
        <f t="shared" si="4"/>
        <v>0</v>
      </c>
      <c r="Q84" s="102">
        <f t="shared" si="4"/>
        <v>0</v>
      </c>
      <c r="R84" s="102">
        <f t="shared" si="4"/>
        <v>0</v>
      </c>
      <c r="S84" s="102">
        <f t="shared" si="4"/>
        <v>0</v>
      </c>
      <c r="T84" s="102">
        <f t="shared" si="4"/>
        <v>0</v>
      </c>
      <c r="U84" s="102">
        <f t="shared" si="4"/>
        <v>0</v>
      </c>
      <c r="V84" s="102">
        <f t="shared" si="4"/>
        <v>0</v>
      </c>
      <c r="W84" s="102">
        <f t="shared" si="4"/>
        <v>501.105</v>
      </c>
      <c r="X84" s="102">
        <f t="shared" si="4"/>
        <v>2110.715</v>
      </c>
      <c r="Y84" s="102">
        <f t="shared" si="4"/>
        <v>5074.827</v>
      </c>
      <c r="Z84" s="102">
        <f t="shared" si="4"/>
        <v>5706.523</v>
      </c>
      <c r="AA84" s="102">
        <f t="shared" si="4"/>
        <v>9235.517</v>
      </c>
      <c r="AB84" s="102">
        <f t="shared" si="4"/>
        <v>9845.954</v>
      </c>
      <c r="AC84" s="102">
        <f t="shared" si="4"/>
        <v>9760.918</v>
      </c>
      <c r="AD84" s="102">
        <f t="shared" si="4"/>
        <v>11042.532</v>
      </c>
      <c r="AE84" s="102">
        <f t="shared" si="4"/>
        <v>12041.705</v>
      </c>
      <c r="AF84" s="102">
        <f t="shared" si="4"/>
        <v>12500.292</v>
      </c>
      <c r="AG84" s="102">
        <f t="shared" si="4"/>
        <v>11656.006</v>
      </c>
      <c r="AH84" s="102">
        <f t="shared" si="4"/>
        <v>12384.886</v>
      </c>
      <c r="AI84" s="102">
        <f t="shared" si="4"/>
        <v>15965.509</v>
      </c>
    </row>
    <row r="85" spans="2:35" ht="12.75">
      <c r="B85" s="101" t="s">
        <v>18</v>
      </c>
      <c r="C85" s="102">
        <f t="shared" si="5"/>
        <v>0</v>
      </c>
      <c r="D85" s="102">
        <f t="shared" si="4"/>
        <v>0</v>
      </c>
      <c r="E85" s="102">
        <f t="shared" si="4"/>
        <v>0</v>
      </c>
      <c r="F85" s="102">
        <f t="shared" si="4"/>
        <v>0</v>
      </c>
      <c r="G85" s="102">
        <f t="shared" si="4"/>
        <v>0</v>
      </c>
      <c r="H85" s="102">
        <f t="shared" si="4"/>
        <v>0</v>
      </c>
      <c r="I85" s="102">
        <f t="shared" si="4"/>
        <v>0</v>
      </c>
      <c r="J85" s="102">
        <f t="shared" si="4"/>
        <v>0</v>
      </c>
      <c r="K85" s="102">
        <f t="shared" si="4"/>
        <v>0</v>
      </c>
      <c r="L85" s="102">
        <f t="shared" si="4"/>
        <v>0</v>
      </c>
      <c r="M85" s="102">
        <f t="shared" si="4"/>
        <v>0</v>
      </c>
      <c r="N85" s="102">
        <f t="shared" si="4"/>
        <v>0</v>
      </c>
      <c r="O85" s="102">
        <f t="shared" si="4"/>
        <v>0</v>
      </c>
      <c r="P85" s="102">
        <f t="shared" si="4"/>
        <v>0</v>
      </c>
      <c r="Q85" s="102">
        <f t="shared" si="4"/>
        <v>0</v>
      </c>
      <c r="R85" s="102">
        <f t="shared" si="4"/>
        <v>0</v>
      </c>
      <c r="S85" s="102">
        <f t="shared" si="4"/>
        <v>0</v>
      </c>
      <c r="T85" s="102">
        <f t="shared" si="4"/>
        <v>0</v>
      </c>
      <c r="U85" s="102">
        <f t="shared" si="4"/>
        <v>0</v>
      </c>
      <c r="V85" s="102">
        <f t="shared" si="4"/>
        <v>0</v>
      </c>
      <c r="W85" s="102">
        <f t="shared" si="4"/>
        <v>0</v>
      </c>
      <c r="X85" s="102">
        <f t="shared" si="4"/>
        <v>1083.36</v>
      </c>
      <c r="Y85" s="102">
        <f t="shared" si="4"/>
        <v>2539.68</v>
      </c>
      <c r="Z85" s="102">
        <f t="shared" si="4"/>
        <v>2397.6</v>
      </c>
      <c r="AA85" s="102">
        <f t="shared" si="4"/>
        <v>4937.28</v>
      </c>
      <c r="AB85" s="102">
        <f t="shared" si="4"/>
        <v>4812.96</v>
      </c>
      <c r="AC85" s="102">
        <f t="shared" si="4"/>
        <v>5288.928</v>
      </c>
      <c r="AD85" s="102">
        <f t="shared" si="4"/>
        <v>6038.4</v>
      </c>
      <c r="AE85" s="102">
        <f t="shared" si="4"/>
        <v>5995.776</v>
      </c>
      <c r="AF85" s="102">
        <f t="shared" si="4"/>
        <v>7359.744</v>
      </c>
      <c r="AG85" s="102">
        <f t="shared" si="4"/>
        <v>7594.176</v>
      </c>
      <c r="AH85" s="102">
        <f t="shared" si="4"/>
        <v>7590.624</v>
      </c>
      <c r="AI85" s="102">
        <f t="shared" si="4"/>
        <v>8336.544</v>
      </c>
    </row>
    <row r="86" spans="2:35" ht="12.75">
      <c r="B86" s="101" t="s">
        <v>19</v>
      </c>
      <c r="C86" s="102">
        <f t="shared" si="5"/>
        <v>424.274</v>
      </c>
      <c r="D86" s="102">
        <f t="shared" si="4"/>
        <v>379.452</v>
      </c>
      <c r="E86" s="102">
        <f t="shared" si="4"/>
        <v>403.398</v>
      </c>
      <c r="F86" s="102">
        <f t="shared" si="4"/>
        <v>354.892</v>
      </c>
      <c r="G86" s="102">
        <f t="shared" si="4"/>
        <v>343.226</v>
      </c>
      <c r="H86" s="102">
        <f t="shared" si="4"/>
        <v>366.558</v>
      </c>
      <c r="I86" s="102">
        <f t="shared" si="4"/>
        <v>354.892</v>
      </c>
      <c r="J86" s="102">
        <f t="shared" si="4"/>
        <v>390.504</v>
      </c>
      <c r="K86" s="102">
        <f t="shared" si="4"/>
        <v>363.488</v>
      </c>
      <c r="L86" s="102">
        <f t="shared" si="4"/>
        <v>326.648</v>
      </c>
      <c r="M86" s="102">
        <f t="shared" si="4"/>
        <v>464.798</v>
      </c>
      <c r="N86" s="102">
        <f t="shared" si="4"/>
        <v>378.838</v>
      </c>
      <c r="O86" s="102">
        <f t="shared" si="4"/>
        <v>415.064</v>
      </c>
      <c r="P86" s="102">
        <f t="shared" si="4"/>
        <v>388.048</v>
      </c>
      <c r="Q86" s="102">
        <f t="shared" si="4"/>
        <v>411.994</v>
      </c>
      <c r="R86" s="102">
        <f t="shared" si="4"/>
        <v>485.674</v>
      </c>
      <c r="S86" s="102">
        <f t="shared" si="4"/>
        <v>399.714</v>
      </c>
      <c r="T86" s="102">
        <f t="shared" si="4"/>
        <v>472.166</v>
      </c>
      <c r="U86" s="102">
        <f t="shared" si="4"/>
        <v>399.714</v>
      </c>
      <c r="V86" s="102">
        <f t="shared" si="4"/>
        <v>451.904</v>
      </c>
      <c r="W86" s="102">
        <f t="shared" si="4"/>
        <v>516.374</v>
      </c>
      <c r="X86" s="102">
        <f t="shared" si="4"/>
        <v>375.154</v>
      </c>
      <c r="Y86" s="102">
        <f t="shared" si="4"/>
        <v>431.642</v>
      </c>
      <c r="Z86" s="102">
        <f t="shared" si="4"/>
        <v>395.416</v>
      </c>
      <c r="AA86" s="102">
        <f t="shared" si="4"/>
        <v>407.696</v>
      </c>
      <c r="AB86" s="102">
        <f t="shared" si="4"/>
        <v>500.41</v>
      </c>
      <c r="AC86" s="102">
        <f t="shared" si="4"/>
        <v>379.452</v>
      </c>
      <c r="AD86" s="102">
        <f t="shared" si="4"/>
        <v>491.814</v>
      </c>
      <c r="AE86" s="102">
        <f t="shared" si="4"/>
        <v>418.748</v>
      </c>
      <c r="AF86" s="102">
        <f t="shared" si="4"/>
        <v>536.636</v>
      </c>
      <c r="AG86" s="102">
        <f t="shared" si="4"/>
        <v>507.778</v>
      </c>
      <c r="AH86" s="102">
        <f t="shared" si="4"/>
        <v>423.66</v>
      </c>
      <c r="AI86" s="102">
        <f t="shared" si="4"/>
        <v>531.11</v>
      </c>
    </row>
    <row r="87" spans="2:35" ht="12.75">
      <c r="B87" s="101" t="s">
        <v>20</v>
      </c>
      <c r="C87" s="102">
        <f t="shared" si="5"/>
        <v>1546.0595</v>
      </c>
      <c r="D87" s="102">
        <f t="shared" si="4"/>
        <v>2038.9495</v>
      </c>
      <c r="E87" s="102">
        <f t="shared" si="4"/>
        <v>2019.6985</v>
      </c>
      <c r="F87" s="102">
        <f t="shared" si="4"/>
        <v>1812.6715</v>
      </c>
      <c r="G87" s="102">
        <f t="shared" si="4"/>
        <v>1917.1465</v>
      </c>
      <c r="H87" s="102">
        <f t="shared" si="4"/>
        <v>1538.1915</v>
      </c>
      <c r="I87" s="102">
        <f t="shared" si="4"/>
        <v>1930.997</v>
      </c>
      <c r="J87" s="102">
        <f t="shared" si="4"/>
        <v>1908.2555</v>
      </c>
      <c r="K87" s="102">
        <f t="shared" si="4"/>
        <v>1832.5685</v>
      </c>
      <c r="L87" s="102">
        <f t="shared" si="4"/>
        <v>1726.874</v>
      </c>
      <c r="M87" s="102">
        <f t="shared" si="4"/>
        <v>2011.071</v>
      </c>
      <c r="N87" s="102">
        <f t="shared" si="4"/>
        <v>1808.658</v>
      </c>
      <c r="O87" s="102">
        <f t="shared" si="4"/>
        <v>1914.699</v>
      </c>
      <c r="P87" s="102">
        <f t="shared" si="4"/>
        <v>1706.9475</v>
      </c>
      <c r="Q87" s="102">
        <f t="shared" si="4"/>
        <v>1646.1355</v>
      </c>
      <c r="R87" s="102">
        <f t="shared" si="4"/>
        <v>1730.7465</v>
      </c>
      <c r="S87" s="102">
        <f t="shared" si="4"/>
        <v>1781.037</v>
      </c>
      <c r="T87" s="102">
        <f t="shared" si="4"/>
        <v>1754.807</v>
      </c>
      <c r="U87" s="102">
        <f t="shared" si="4"/>
        <v>1858.208</v>
      </c>
      <c r="V87" s="102">
        <f t="shared" si="4"/>
        <v>1789.037</v>
      </c>
      <c r="W87" s="102">
        <f t="shared" si="4"/>
        <v>1694.8495</v>
      </c>
      <c r="X87" s="102">
        <f t="shared" si="4"/>
        <v>1625.514</v>
      </c>
      <c r="Y87" s="102">
        <f t="shared" si="4"/>
        <v>1802.766</v>
      </c>
      <c r="Z87" s="102">
        <f t="shared" si="4"/>
        <v>1439.909</v>
      </c>
      <c r="AA87" s="102">
        <f t="shared" si="4"/>
        <v>1736.3975</v>
      </c>
      <c r="AB87" s="102">
        <f t="shared" si="4"/>
        <v>1606.9455</v>
      </c>
      <c r="AC87" s="102">
        <f t="shared" si="4"/>
        <v>1593.5735</v>
      </c>
      <c r="AD87" s="102">
        <f t="shared" si="4"/>
        <v>1570.3635</v>
      </c>
      <c r="AE87" s="102">
        <f t="shared" si="4"/>
        <v>1530.52</v>
      </c>
      <c r="AF87" s="102">
        <f t="shared" si="4"/>
        <v>1563.2775</v>
      </c>
      <c r="AG87" s="102">
        <f t="shared" si="4"/>
        <v>1543.565</v>
      </c>
      <c r="AH87" s="102">
        <f t="shared" si="4"/>
        <v>1033.377</v>
      </c>
      <c r="AI87" s="102">
        <f t="shared" si="4"/>
        <v>1182.328</v>
      </c>
    </row>
    <row r="88" spans="2:35" ht="12.75">
      <c r="B88" s="101" t="s">
        <v>21</v>
      </c>
      <c r="C88" s="102">
        <f t="shared" si="5"/>
        <v>163.783</v>
      </c>
      <c r="D88" s="102">
        <f t="shared" si="4"/>
        <v>238.855</v>
      </c>
      <c r="E88" s="102">
        <f t="shared" si="4"/>
        <v>236.9</v>
      </c>
      <c r="F88" s="102">
        <f t="shared" si="4"/>
        <v>193.039</v>
      </c>
      <c r="G88" s="102">
        <f t="shared" si="4"/>
        <v>197.409</v>
      </c>
      <c r="H88" s="102">
        <f t="shared" si="4"/>
        <v>187.3925</v>
      </c>
      <c r="I88" s="102">
        <f t="shared" si="4"/>
        <v>194.3385</v>
      </c>
      <c r="J88" s="102">
        <f t="shared" si="4"/>
        <v>186.484</v>
      </c>
      <c r="K88" s="102">
        <f t="shared" si="4"/>
        <v>187.611</v>
      </c>
      <c r="L88" s="102">
        <f t="shared" si="4"/>
        <v>187.4385</v>
      </c>
      <c r="M88" s="102">
        <f t="shared" si="4"/>
        <v>222.456</v>
      </c>
      <c r="N88" s="102">
        <f t="shared" si="4"/>
        <v>188.577</v>
      </c>
      <c r="O88" s="102">
        <f t="shared" si="4"/>
        <v>220.9265</v>
      </c>
      <c r="P88" s="102">
        <f t="shared" si="4"/>
        <v>211.0825</v>
      </c>
      <c r="Q88" s="102">
        <f t="shared" si="4"/>
        <v>169.5445</v>
      </c>
      <c r="R88" s="102">
        <f t="shared" si="4"/>
        <v>194.419</v>
      </c>
      <c r="S88" s="102">
        <f t="shared" si="4"/>
        <v>216.9475</v>
      </c>
      <c r="T88" s="102">
        <f t="shared" si="4"/>
        <v>201.756</v>
      </c>
      <c r="U88" s="102">
        <f t="shared" si="4"/>
        <v>200.2035</v>
      </c>
      <c r="V88" s="102">
        <f t="shared" si="4"/>
        <v>239.8555</v>
      </c>
      <c r="W88" s="102">
        <f t="shared" si="4"/>
        <v>233.128</v>
      </c>
      <c r="X88" s="102">
        <f t="shared" si="4"/>
        <v>202.6185</v>
      </c>
      <c r="Y88" s="102">
        <f t="shared" si="4"/>
        <v>205.643</v>
      </c>
      <c r="Z88" s="102">
        <f t="shared" si="4"/>
        <v>194.902</v>
      </c>
      <c r="AA88" s="102">
        <f t="shared" si="4"/>
        <v>200.33</v>
      </c>
      <c r="AB88" s="102">
        <f t="shared" si="4"/>
        <v>196.144</v>
      </c>
      <c r="AC88" s="102">
        <f t="shared" si="4"/>
        <v>215.832</v>
      </c>
      <c r="AD88" s="102">
        <f t="shared" si="4"/>
        <v>224.2385</v>
      </c>
      <c r="AE88" s="102">
        <f t="shared" si="4"/>
        <v>183.7585</v>
      </c>
      <c r="AF88" s="102">
        <f t="shared" si="4"/>
        <v>236.325</v>
      </c>
      <c r="AG88" s="102">
        <f t="shared" si="4"/>
        <v>173.7535</v>
      </c>
      <c r="AH88" s="102">
        <f t="shared" si="4"/>
        <v>221.6395</v>
      </c>
      <c r="AI88" s="102">
        <f t="shared" si="4"/>
        <v>198.053</v>
      </c>
    </row>
    <row r="89" spans="2:35" ht="12.75">
      <c r="B89" s="101" t="s">
        <v>22</v>
      </c>
      <c r="C89" s="102">
        <f t="shared" si="5"/>
        <v>251.419</v>
      </c>
      <c r="D89" s="102">
        <f t="shared" si="4"/>
        <v>277.83</v>
      </c>
      <c r="E89" s="102">
        <f t="shared" si="4"/>
        <v>233.583</v>
      </c>
      <c r="F89" s="102">
        <f t="shared" si="4"/>
        <v>228.781</v>
      </c>
      <c r="G89" s="102">
        <f t="shared" si="4"/>
        <v>242.158</v>
      </c>
      <c r="H89" s="102">
        <f t="shared" si="4"/>
        <v>231.182</v>
      </c>
      <c r="I89" s="102">
        <f t="shared" si="4"/>
        <v>221.921</v>
      </c>
      <c r="J89" s="102">
        <f t="shared" si="4"/>
        <v>204.085</v>
      </c>
      <c r="K89" s="102">
        <f t="shared" si="4"/>
        <v>265.139</v>
      </c>
      <c r="L89" s="102">
        <f t="shared" si="4"/>
        <v>213.003</v>
      </c>
      <c r="M89" s="102">
        <f t="shared" si="4"/>
        <v>233.926</v>
      </c>
      <c r="N89" s="102">
        <f t="shared" si="4"/>
        <v>231.525</v>
      </c>
      <c r="O89" s="102">
        <f t="shared" si="4"/>
        <v>201.684</v>
      </c>
      <c r="P89" s="102">
        <f t="shared" si="4"/>
        <v>190.708</v>
      </c>
      <c r="Q89" s="102">
        <f t="shared" si="4"/>
        <v>200.312</v>
      </c>
      <c r="R89" s="102">
        <f t="shared" si="4"/>
        <v>197.225</v>
      </c>
      <c r="S89" s="102">
        <f t="shared" si="4"/>
        <v>213.346</v>
      </c>
      <c r="T89" s="102">
        <f t="shared" si="4"/>
        <v>219.863</v>
      </c>
      <c r="U89" s="102">
        <f t="shared" si="4"/>
        <v>231.182</v>
      </c>
      <c r="V89" s="102">
        <f t="shared" si="4"/>
        <v>240.443</v>
      </c>
      <c r="W89" s="102">
        <f t="shared" si="4"/>
        <v>235.641</v>
      </c>
      <c r="X89" s="102">
        <f t="shared" si="4"/>
        <v>202.37</v>
      </c>
      <c r="Y89" s="102">
        <f t="shared" si="4"/>
        <v>224.665</v>
      </c>
      <c r="Z89" s="102">
        <f t="shared" si="4"/>
        <v>166.012</v>
      </c>
      <c r="AA89" s="102">
        <f t="shared" si="4"/>
        <v>249.704</v>
      </c>
      <c r="AB89" s="102">
        <f t="shared" si="4"/>
        <v>211.288</v>
      </c>
      <c r="AC89" s="102">
        <f t="shared" si="4"/>
        <v>238.385</v>
      </c>
      <c r="AD89" s="102">
        <f t="shared" si="4"/>
        <v>240.786</v>
      </c>
      <c r="AE89" s="102">
        <f t="shared" si="4"/>
        <v>222.607</v>
      </c>
      <c r="AF89" s="102">
        <f t="shared" si="4"/>
        <v>235.984</v>
      </c>
      <c r="AG89" s="102">
        <f aca="true" t="shared" si="6" ref="D89:AI92">IF(ISERROR(AG58),0,AG58)</f>
        <v>221.921</v>
      </c>
      <c r="AH89" s="102">
        <f t="shared" si="6"/>
        <v>258.279</v>
      </c>
      <c r="AI89" s="102">
        <f t="shared" si="6"/>
        <v>255.878</v>
      </c>
    </row>
    <row r="90" spans="2:35" ht="12.75">
      <c r="B90" s="101" t="s">
        <v>23</v>
      </c>
      <c r="C90" s="102">
        <f t="shared" si="5"/>
        <v>0</v>
      </c>
      <c r="D90" s="102">
        <f t="shared" si="6"/>
        <v>0</v>
      </c>
      <c r="E90" s="102">
        <f t="shared" si="6"/>
        <v>0</v>
      </c>
      <c r="F90" s="102">
        <f t="shared" si="6"/>
        <v>0</v>
      </c>
      <c r="G90" s="102">
        <f t="shared" si="6"/>
        <v>0</v>
      </c>
      <c r="H90" s="102">
        <f t="shared" si="6"/>
        <v>0</v>
      </c>
      <c r="I90" s="102">
        <f t="shared" si="6"/>
        <v>0</v>
      </c>
      <c r="J90" s="102">
        <f t="shared" si="6"/>
        <v>0</v>
      </c>
      <c r="K90" s="102">
        <f t="shared" si="6"/>
        <v>0</v>
      </c>
      <c r="L90" s="102">
        <f t="shared" si="6"/>
        <v>0</v>
      </c>
      <c r="M90" s="102">
        <f t="shared" si="6"/>
        <v>0</v>
      </c>
      <c r="N90" s="102">
        <f t="shared" si="6"/>
        <v>0</v>
      </c>
      <c r="O90" s="102">
        <f t="shared" si="6"/>
        <v>0</v>
      </c>
      <c r="P90" s="102">
        <f t="shared" si="6"/>
        <v>0</v>
      </c>
      <c r="Q90" s="102">
        <f t="shared" si="6"/>
        <v>0</v>
      </c>
      <c r="R90" s="102">
        <f t="shared" si="6"/>
        <v>0</v>
      </c>
      <c r="S90" s="102">
        <f t="shared" si="6"/>
        <v>0</v>
      </c>
      <c r="T90" s="102">
        <f t="shared" si="6"/>
        <v>0</v>
      </c>
      <c r="U90" s="102">
        <f t="shared" si="6"/>
        <v>0</v>
      </c>
      <c r="V90" s="102">
        <f t="shared" si="6"/>
        <v>0</v>
      </c>
      <c r="W90" s="102">
        <f t="shared" si="6"/>
        <v>0</v>
      </c>
      <c r="X90" s="102">
        <f t="shared" si="6"/>
        <v>0</v>
      </c>
      <c r="Y90" s="102">
        <f t="shared" si="6"/>
        <v>867.5055</v>
      </c>
      <c r="Z90" s="102">
        <f t="shared" si="6"/>
        <v>2021.0235</v>
      </c>
      <c r="AA90" s="102">
        <f t="shared" si="6"/>
        <v>3509.8665</v>
      </c>
      <c r="AB90" s="102">
        <f t="shared" si="6"/>
        <v>4663.5472</v>
      </c>
      <c r="AC90" s="102">
        <f t="shared" si="6"/>
        <v>5132.2132</v>
      </c>
      <c r="AD90" s="102">
        <f t="shared" si="6"/>
        <v>5808.3862</v>
      </c>
      <c r="AE90" s="102">
        <f t="shared" si="6"/>
        <v>5916.3165</v>
      </c>
      <c r="AF90" s="102">
        <f t="shared" si="6"/>
        <v>6564.8745</v>
      </c>
      <c r="AG90" s="102">
        <f t="shared" si="6"/>
        <v>6605.508</v>
      </c>
      <c r="AH90" s="102">
        <f t="shared" si="6"/>
        <v>6443.3685</v>
      </c>
      <c r="AI90" s="102">
        <f t="shared" si="6"/>
        <v>7596.8865</v>
      </c>
    </row>
    <row r="91" spans="2:35" ht="12.75">
      <c r="B91" s="101" t="s">
        <v>24</v>
      </c>
      <c r="C91" s="102">
        <f t="shared" si="5"/>
        <v>16830.8925</v>
      </c>
      <c r="D91" s="102">
        <f t="shared" si="6"/>
        <v>20776.7255</v>
      </c>
      <c r="E91" s="102">
        <f t="shared" si="6"/>
        <v>19380.8495</v>
      </c>
      <c r="F91" s="102">
        <f t="shared" si="6"/>
        <v>18976.333</v>
      </c>
      <c r="G91" s="102">
        <f t="shared" si="6"/>
        <v>19191.3345</v>
      </c>
      <c r="H91" s="102">
        <f t="shared" si="6"/>
        <v>19147.55</v>
      </c>
      <c r="I91" s="102">
        <f t="shared" si="6"/>
        <v>20910.693</v>
      </c>
      <c r="J91" s="102">
        <f t="shared" si="6"/>
        <v>21348.538</v>
      </c>
      <c r="K91" s="102">
        <f t="shared" si="6"/>
        <v>20852.5315</v>
      </c>
      <c r="L91" s="102">
        <f t="shared" si="6"/>
        <v>19933.057</v>
      </c>
      <c r="M91" s="102">
        <f t="shared" si="6"/>
        <v>22679.064</v>
      </c>
      <c r="N91" s="102">
        <f t="shared" si="6"/>
        <v>21685.0905</v>
      </c>
      <c r="O91" s="102">
        <f t="shared" si="6"/>
        <v>22315.0645</v>
      </c>
      <c r="P91" s="102">
        <f t="shared" si="6"/>
        <v>21887.6755</v>
      </c>
      <c r="Q91" s="102">
        <f t="shared" si="6"/>
        <v>20820.51</v>
      </c>
      <c r="R91" s="102">
        <f t="shared" si="6"/>
        <v>22331.402</v>
      </c>
      <c r="S91" s="102">
        <f t="shared" si="6"/>
        <v>21772.006</v>
      </c>
      <c r="T91" s="102">
        <f t="shared" si="6"/>
        <v>21291.03</v>
      </c>
      <c r="U91" s="102">
        <f t="shared" si="6"/>
        <v>22331.402</v>
      </c>
      <c r="V91" s="102">
        <f t="shared" si="6"/>
        <v>22489.549</v>
      </c>
      <c r="W91" s="102">
        <f t="shared" si="6"/>
        <v>21444.6025</v>
      </c>
      <c r="X91" s="102">
        <f t="shared" si="6"/>
        <v>19999.714</v>
      </c>
      <c r="Y91" s="102">
        <f t="shared" si="6"/>
        <v>21638.0385</v>
      </c>
      <c r="Z91" s="102">
        <f t="shared" si="6"/>
        <v>16589.0975</v>
      </c>
      <c r="AA91" s="102">
        <f t="shared" si="6"/>
        <v>16643.9915</v>
      </c>
      <c r="AB91" s="102">
        <f t="shared" si="6"/>
        <v>14633.615</v>
      </c>
      <c r="AC91" s="102">
        <f t="shared" si="6"/>
        <v>11725.385</v>
      </c>
      <c r="AD91" s="102">
        <f t="shared" si="6"/>
        <v>12373.7425</v>
      </c>
      <c r="AE91" s="102">
        <f t="shared" si="6"/>
        <v>10679.506</v>
      </c>
      <c r="AF91" s="102">
        <f t="shared" si="6"/>
        <v>10461.3655</v>
      </c>
      <c r="AG91" s="102">
        <f t="shared" si="6"/>
        <v>9419.09</v>
      </c>
      <c r="AH91" s="102">
        <f t="shared" si="6"/>
        <v>8796.5285</v>
      </c>
      <c r="AI91" s="102">
        <f t="shared" si="6"/>
        <v>9885.37</v>
      </c>
    </row>
    <row r="92" spans="2:35" ht="12.75">
      <c r="B92" s="101" t="s">
        <v>25</v>
      </c>
      <c r="C92" s="102">
        <f t="shared" si="5"/>
        <v>7493.558</v>
      </c>
      <c r="D92" s="102">
        <f t="shared" si="6"/>
        <v>9026.091</v>
      </c>
      <c r="E92" s="102">
        <f t="shared" si="6"/>
        <v>8278.6145</v>
      </c>
      <c r="F92" s="102">
        <f t="shared" si="6"/>
        <v>8170.9595</v>
      </c>
      <c r="G92" s="102">
        <f t="shared" si="6"/>
        <v>8199.61</v>
      </c>
      <c r="H92" s="102">
        <f t="shared" si="6"/>
        <v>8276.772</v>
      </c>
      <c r="I92" s="102">
        <f t="shared" si="6"/>
        <v>8388.9365</v>
      </c>
      <c r="J92" s="102">
        <f t="shared" si="6"/>
        <v>8495.696</v>
      </c>
      <c r="K92" s="102">
        <f t="shared" si="6"/>
        <v>7709.7135</v>
      </c>
      <c r="L92" s="102">
        <f t="shared" si="6"/>
        <v>7030.1035</v>
      </c>
      <c r="M92" s="102">
        <f t="shared" si="6"/>
        <v>8376.379</v>
      </c>
      <c r="N92" s="102">
        <f t="shared" si="6"/>
        <v>7903.91</v>
      </c>
      <c r="O92" s="102">
        <f t="shared" si="6"/>
        <v>8115.3455</v>
      </c>
      <c r="P92" s="102">
        <f t="shared" si="6"/>
        <v>7761.7595</v>
      </c>
      <c r="Q92" s="102">
        <f t="shared" si="6"/>
        <v>7378.5625</v>
      </c>
      <c r="R92" s="102">
        <f t="shared" si="6"/>
        <v>7768.352</v>
      </c>
      <c r="S92" s="102">
        <f t="shared" si="6"/>
        <v>7806.981</v>
      </c>
      <c r="T92" s="102">
        <f t="shared" si="6"/>
        <v>7389.298</v>
      </c>
      <c r="U92" s="102">
        <f t="shared" si="6"/>
        <v>7804.683</v>
      </c>
      <c r="V92" s="102">
        <f t="shared" si="6"/>
        <v>7861.55</v>
      </c>
      <c r="W92" s="102">
        <f t="shared" si="6"/>
        <v>7440.3305</v>
      </c>
      <c r="X92" s="102">
        <f t="shared" si="6"/>
        <v>7201.2135</v>
      </c>
      <c r="Y92" s="102">
        <f t="shared" si="6"/>
        <v>7602.88</v>
      </c>
      <c r="Z92" s="102">
        <f t="shared" si="6"/>
        <v>6726.6305</v>
      </c>
      <c r="AA92" s="102">
        <f t="shared" si="6"/>
        <v>7223.3945</v>
      </c>
      <c r="AB92" s="102">
        <f t="shared" si="6"/>
        <v>7076.153</v>
      </c>
      <c r="AC92" s="102">
        <f t="shared" si="6"/>
        <v>6303.8015</v>
      </c>
      <c r="AD92" s="102">
        <f t="shared" si="6"/>
        <v>6569.7155</v>
      </c>
      <c r="AE92" s="102">
        <f t="shared" si="6"/>
        <v>6302.1855</v>
      </c>
      <c r="AF92" s="102">
        <f t="shared" si="6"/>
        <v>7051.125</v>
      </c>
      <c r="AG92" s="102">
        <f t="shared" si="6"/>
        <v>6336.0775</v>
      </c>
      <c r="AH92" s="102">
        <f t="shared" si="6"/>
        <v>6077.265</v>
      </c>
      <c r="AI92" s="102">
        <f t="shared" si="6"/>
        <v>6818.6925</v>
      </c>
    </row>
    <row r="93" spans="2:35" ht="12.75">
      <c r="B93" s="101" t="s">
        <v>26</v>
      </c>
      <c r="C93" s="102">
        <f>IF(ISERROR(C62),0,C62)</f>
        <v>1652.7825</v>
      </c>
      <c r="D93" s="102">
        <f aca="true" t="shared" si="7" ref="D93:AI93">IF(ISERROR(D62),0,D62)</f>
        <v>2030.174</v>
      </c>
      <c r="E93" s="102">
        <f t="shared" si="7"/>
        <v>1857.131</v>
      </c>
      <c r="F93" s="102">
        <f t="shared" si="7"/>
        <v>1743.741</v>
      </c>
      <c r="G93" s="102">
        <f t="shared" si="7"/>
        <v>1837.904</v>
      </c>
      <c r="H93" s="102">
        <f t="shared" si="7"/>
        <v>1831.988</v>
      </c>
      <c r="I93" s="102">
        <f t="shared" si="7"/>
        <v>1823.607</v>
      </c>
      <c r="J93" s="102">
        <f t="shared" si="7"/>
        <v>1917.277</v>
      </c>
      <c r="K93" s="102">
        <f t="shared" si="7"/>
        <v>1712.682</v>
      </c>
      <c r="L93" s="102">
        <f t="shared" si="7"/>
        <v>1661.903</v>
      </c>
      <c r="M93" s="102">
        <f t="shared" si="7"/>
        <v>1930.588</v>
      </c>
      <c r="N93" s="102">
        <f t="shared" si="7"/>
        <v>1708.245</v>
      </c>
      <c r="O93" s="102">
        <f t="shared" si="7"/>
        <v>1834.2065</v>
      </c>
      <c r="P93" s="102">
        <f t="shared" si="7"/>
        <v>1775.0465</v>
      </c>
      <c r="Q93" s="102">
        <f t="shared" si="7"/>
        <v>1632.323</v>
      </c>
      <c r="R93" s="102">
        <f t="shared" si="7"/>
        <v>1720.3235</v>
      </c>
      <c r="S93" s="102">
        <f t="shared" si="7"/>
        <v>1749.657</v>
      </c>
      <c r="T93" s="102">
        <f t="shared" si="7"/>
        <v>1739.797</v>
      </c>
      <c r="U93" s="102">
        <f t="shared" si="7"/>
        <v>1718.8445</v>
      </c>
      <c r="V93" s="102">
        <f t="shared" si="7"/>
        <v>1739.304</v>
      </c>
      <c r="W93" s="102">
        <f t="shared" si="7"/>
        <v>1796.492</v>
      </c>
      <c r="X93" s="102">
        <f t="shared" si="7"/>
        <v>1487.6275</v>
      </c>
      <c r="Y93" s="102">
        <f t="shared" si="7"/>
        <v>1807.831</v>
      </c>
      <c r="Z93" s="102">
        <f t="shared" si="7"/>
        <v>1460.759</v>
      </c>
      <c r="AA93" s="102">
        <f t="shared" si="7"/>
        <v>1637.746</v>
      </c>
      <c r="AB93" s="102">
        <f t="shared" si="7"/>
        <v>1697.892</v>
      </c>
      <c r="AC93" s="102">
        <f t="shared" si="7"/>
        <v>1476.535</v>
      </c>
      <c r="AD93" s="102">
        <f t="shared" si="7"/>
        <v>1648.592</v>
      </c>
      <c r="AE93" s="102">
        <f t="shared" si="7"/>
        <v>1502.4175</v>
      </c>
      <c r="AF93" s="102">
        <f t="shared" si="7"/>
        <v>1669.791</v>
      </c>
      <c r="AG93" s="102">
        <f t="shared" si="7"/>
        <v>1496.5015</v>
      </c>
      <c r="AH93" s="102">
        <f t="shared" si="7"/>
        <v>1453.857</v>
      </c>
      <c r="AI93" s="102">
        <f t="shared" si="7"/>
        <v>1662.1495</v>
      </c>
    </row>
    <row r="94" spans="2:35" ht="12.75">
      <c r="B94" s="101" t="s">
        <v>107</v>
      </c>
      <c r="C94" s="102">
        <f>IF(ISERROR(C63),0,C63)</f>
        <v>0</v>
      </c>
      <c r="D94" s="102">
        <f aca="true" t="shared" si="8" ref="D94:AI94">IF(ISERROR(D63),0,D63)</f>
        <v>0</v>
      </c>
      <c r="E94" s="102">
        <f t="shared" si="8"/>
        <v>0</v>
      </c>
      <c r="F94" s="102">
        <f t="shared" si="8"/>
        <v>0</v>
      </c>
      <c r="G94" s="102">
        <f t="shared" si="8"/>
        <v>0</v>
      </c>
      <c r="H94" s="102">
        <f t="shared" si="8"/>
        <v>0</v>
      </c>
      <c r="I94" s="102">
        <f t="shared" si="8"/>
        <v>0</v>
      </c>
      <c r="J94" s="102">
        <f t="shared" si="8"/>
        <v>0</v>
      </c>
      <c r="K94" s="102">
        <f t="shared" si="8"/>
        <v>0</v>
      </c>
      <c r="L94" s="102">
        <f t="shared" si="8"/>
        <v>0</v>
      </c>
      <c r="M94" s="102">
        <f t="shared" si="8"/>
        <v>0</v>
      </c>
      <c r="N94" s="102">
        <f t="shared" si="8"/>
        <v>0</v>
      </c>
      <c r="O94" s="102">
        <f t="shared" si="8"/>
        <v>0</v>
      </c>
      <c r="P94" s="102">
        <f t="shared" si="8"/>
        <v>0</v>
      </c>
      <c r="Q94" s="102">
        <f t="shared" si="8"/>
        <v>0</v>
      </c>
      <c r="R94" s="102">
        <f t="shared" si="8"/>
        <v>0</v>
      </c>
      <c r="S94" s="102">
        <f t="shared" si="8"/>
        <v>0</v>
      </c>
      <c r="T94" s="102">
        <f t="shared" si="8"/>
        <v>0</v>
      </c>
      <c r="U94" s="102">
        <f t="shared" si="8"/>
        <v>0</v>
      </c>
      <c r="V94" s="102">
        <f t="shared" si="8"/>
        <v>0</v>
      </c>
      <c r="W94" s="102">
        <f t="shared" si="8"/>
        <v>0</v>
      </c>
      <c r="X94" s="102">
        <f t="shared" si="8"/>
        <v>0</v>
      </c>
      <c r="Y94" s="102">
        <f t="shared" si="8"/>
        <v>0</v>
      </c>
      <c r="Z94" s="102">
        <f t="shared" si="8"/>
        <v>0</v>
      </c>
      <c r="AA94" s="102">
        <f t="shared" si="8"/>
        <v>0</v>
      </c>
      <c r="AB94" s="102">
        <f t="shared" si="8"/>
        <v>0</v>
      </c>
      <c r="AC94" s="102">
        <f t="shared" si="8"/>
        <v>0</v>
      </c>
      <c r="AD94" s="102">
        <f t="shared" si="8"/>
        <v>0</v>
      </c>
      <c r="AE94" s="102">
        <f t="shared" si="8"/>
        <v>0</v>
      </c>
      <c r="AF94" s="102">
        <f t="shared" si="8"/>
        <v>0</v>
      </c>
      <c r="AG94" s="102">
        <f t="shared" si="8"/>
        <v>0</v>
      </c>
      <c r="AH94" s="102">
        <f t="shared" si="8"/>
        <v>0</v>
      </c>
      <c r="AI94" s="102">
        <f t="shared" si="8"/>
        <v>175.245</v>
      </c>
    </row>
    <row r="95" spans="2:35" ht="12.75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</row>
    <row r="96" spans="2:35" ht="13.5" thickBot="1">
      <c r="B96" s="9" t="s">
        <v>0</v>
      </c>
      <c r="C96" s="12">
        <v>38108</v>
      </c>
      <c r="D96" s="12">
        <v>38139</v>
      </c>
      <c r="E96" s="12">
        <v>38169</v>
      </c>
      <c r="F96" s="12">
        <v>38200</v>
      </c>
      <c r="G96" s="12">
        <v>38231</v>
      </c>
      <c r="H96" s="12">
        <v>38261</v>
      </c>
      <c r="I96" s="12">
        <v>38292</v>
      </c>
      <c r="J96" s="12">
        <v>38322</v>
      </c>
      <c r="K96" s="12">
        <v>38353</v>
      </c>
      <c r="L96" s="12">
        <v>38384</v>
      </c>
      <c r="M96" s="12">
        <v>38412</v>
      </c>
      <c r="N96" s="12">
        <v>38443</v>
      </c>
      <c r="O96" s="12">
        <v>38473</v>
      </c>
      <c r="P96" s="12">
        <v>38504</v>
      </c>
      <c r="Q96" s="12">
        <v>38534</v>
      </c>
      <c r="R96" s="12">
        <v>38565</v>
      </c>
      <c r="S96" s="12">
        <v>38596</v>
      </c>
      <c r="T96" s="12">
        <v>38626</v>
      </c>
      <c r="U96" s="12">
        <v>38657</v>
      </c>
      <c r="V96" s="12">
        <v>38687</v>
      </c>
      <c r="W96" s="12">
        <v>38718</v>
      </c>
      <c r="X96" s="12">
        <v>38749</v>
      </c>
      <c r="Y96" s="12">
        <v>38777</v>
      </c>
      <c r="Z96" s="12">
        <v>38808</v>
      </c>
      <c r="AA96" s="12">
        <v>38838</v>
      </c>
      <c r="AB96" s="12">
        <v>38869</v>
      </c>
      <c r="AC96" s="12">
        <v>38899</v>
      </c>
      <c r="AD96" s="12">
        <v>38930</v>
      </c>
      <c r="AE96" s="12">
        <v>38961</v>
      </c>
      <c r="AF96" s="12">
        <v>38991</v>
      </c>
      <c r="AG96" s="12">
        <v>39022</v>
      </c>
      <c r="AH96" s="12">
        <v>39052</v>
      </c>
      <c r="AI96" s="12">
        <v>39083</v>
      </c>
    </row>
    <row r="97" spans="2:35" ht="13.5" thickTop="1">
      <c r="B97" s="7" t="s">
        <v>27</v>
      </c>
      <c r="C97" s="8">
        <f>SUM(C66:C68)</f>
        <v>42101.994</v>
      </c>
      <c r="D97" s="8">
        <f aca="true" t="shared" si="9" ref="D97:AI97">SUM(D66:D68)</f>
        <v>54709.9605</v>
      </c>
      <c r="E97" s="8">
        <f t="shared" si="9"/>
        <v>48449.885</v>
      </c>
      <c r="F97" s="8">
        <f t="shared" si="9"/>
        <v>50031.663</v>
      </c>
      <c r="G97" s="8">
        <f t="shared" si="9"/>
        <v>49165.792</v>
      </c>
      <c r="H97" s="8">
        <f t="shared" si="9"/>
        <v>48184.9155</v>
      </c>
      <c r="I97" s="8">
        <f t="shared" si="9"/>
        <v>50976.384</v>
      </c>
      <c r="J97" s="8">
        <f t="shared" si="9"/>
        <v>52515.7765</v>
      </c>
      <c r="K97" s="8">
        <f t="shared" si="9"/>
        <v>49766.1285</v>
      </c>
      <c r="L97" s="8">
        <f t="shared" si="9"/>
        <v>45768.846000000005</v>
      </c>
      <c r="M97" s="8">
        <f t="shared" si="9"/>
        <v>53704.3805</v>
      </c>
      <c r="N97" s="8">
        <f t="shared" si="9"/>
        <v>50604.7535</v>
      </c>
      <c r="O97" s="8">
        <f t="shared" si="9"/>
        <v>51115.611999999994</v>
      </c>
      <c r="P97" s="8">
        <f t="shared" si="9"/>
        <v>45945.41649999999</v>
      </c>
      <c r="Q97" s="8">
        <f t="shared" si="9"/>
        <v>43441.943</v>
      </c>
      <c r="R97" s="8">
        <f t="shared" si="9"/>
        <v>47148.001000000004</v>
      </c>
      <c r="S97" s="8">
        <f t="shared" si="9"/>
        <v>45648.3705</v>
      </c>
      <c r="T97" s="8">
        <f t="shared" si="9"/>
        <v>44967.121</v>
      </c>
      <c r="U97" s="8">
        <f t="shared" si="9"/>
        <v>47948.837</v>
      </c>
      <c r="V97" s="8">
        <f t="shared" si="9"/>
        <v>49063.386</v>
      </c>
      <c r="W97" s="8">
        <f t="shared" si="9"/>
        <v>46613.246</v>
      </c>
      <c r="X97" s="8">
        <f t="shared" si="9"/>
        <v>43433.019</v>
      </c>
      <c r="Y97" s="8">
        <f t="shared" si="9"/>
        <v>48137.4555</v>
      </c>
      <c r="Z97" s="8">
        <f t="shared" si="9"/>
        <v>42446.297</v>
      </c>
      <c r="AA97" s="8">
        <f t="shared" si="9"/>
        <v>48228.094</v>
      </c>
      <c r="AB97" s="8">
        <f t="shared" si="9"/>
        <v>46528.924000000006</v>
      </c>
      <c r="AC97" s="8">
        <f t="shared" si="9"/>
        <v>44951.038499999995</v>
      </c>
      <c r="AD97" s="8">
        <f t="shared" si="9"/>
        <v>46350.380000000005</v>
      </c>
      <c r="AE97" s="8">
        <f t="shared" si="9"/>
        <v>44760.601500000004</v>
      </c>
      <c r="AF97" s="8">
        <f t="shared" si="9"/>
        <v>48946.996</v>
      </c>
      <c r="AG97" s="8">
        <f t="shared" si="9"/>
        <v>45970.947</v>
      </c>
      <c r="AH97" s="8">
        <f t="shared" si="9"/>
        <v>44391.485</v>
      </c>
      <c r="AI97" s="8">
        <f t="shared" si="9"/>
        <v>50121.929000000004</v>
      </c>
    </row>
    <row r="98" spans="2:35" ht="12.75">
      <c r="B98" s="1" t="s">
        <v>28</v>
      </c>
      <c r="C98" s="4">
        <f>SUM(C69:C71)</f>
        <v>93439.28700000001</v>
      </c>
      <c r="D98" s="4">
        <f aca="true" t="shared" si="10" ref="D98:AI98">SUM(D69:D71)</f>
        <v>114753.03349999999</v>
      </c>
      <c r="E98" s="4">
        <f t="shared" si="10"/>
        <v>106832.266</v>
      </c>
      <c r="F98" s="4">
        <f t="shared" si="10"/>
        <v>108142.7885</v>
      </c>
      <c r="G98" s="4">
        <f t="shared" si="10"/>
        <v>108634.1175</v>
      </c>
      <c r="H98" s="4">
        <f t="shared" si="10"/>
        <v>109684.897</v>
      </c>
      <c r="I98" s="4">
        <f t="shared" si="10"/>
        <v>113378.3945</v>
      </c>
      <c r="J98" s="4">
        <f t="shared" si="10"/>
        <v>116110.87449999999</v>
      </c>
      <c r="K98" s="4">
        <f t="shared" si="10"/>
        <v>114577.466</v>
      </c>
      <c r="L98" s="4">
        <f t="shared" si="10"/>
        <v>102610.46849999999</v>
      </c>
      <c r="M98" s="4">
        <f t="shared" si="10"/>
        <v>124974.6175</v>
      </c>
      <c r="N98" s="4">
        <f t="shared" si="10"/>
        <v>117230.7625</v>
      </c>
      <c r="O98" s="4">
        <f t="shared" si="10"/>
        <v>122014.0375</v>
      </c>
      <c r="P98" s="4">
        <f t="shared" si="10"/>
        <v>118271.526</v>
      </c>
      <c r="Q98" s="4">
        <f t="shared" si="10"/>
        <v>110552.468</v>
      </c>
      <c r="R98" s="4">
        <f t="shared" si="10"/>
        <v>119609.199</v>
      </c>
      <c r="S98" s="4">
        <f t="shared" si="10"/>
        <v>116821.59</v>
      </c>
      <c r="T98" s="4">
        <f t="shared" si="10"/>
        <v>112133.8845</v>
      </c>
      <c r="U98" s="4">
        <f t="shared" si="10"/>
        <v>116352.2335</v>
      </c>
      <c r="V98" s="4">
        <f t="shared" si="10"/>
        <v>117863.33499999999</v>
      </c>
      <c r="W98" s="4">
        <f t="shared" si="10"/>
        <v>114183.283</v>
      </c>
      <c r="X98" s="4">
        <f t="shared" si="10"/>
        <v>107653.654</v>
      </c>
      <c r="Y98" s="4">
        <f t="shared" si="10"/>
        <v>117655.1845</v>
      </c>
      <c r="Z98" s="4">
        <f t="shared" si="10"/>
        <v>103637.537</v>
      </c>
      <c r="AA98" s="4">
        <f t="shared" si="10"/>
        <v>117087.4855</v>
      </c>
      <c r="AB98" s="4">
        <f t="shared" si="10"/>
        <v>114516.897</v>
      </c>
      <c r="AC98" s="4">
        <f t="shared" si="10"/>
        <v>100228.6575</v>
      </c>
      <c r="AD98" s="4">
        <f t="shared" si="10"/>
        <v>99841.76250000001</v>
      </c>
      <c r="AE98" s="4">
        <f t="shared" si="10"/>
        <v>88938.6967</v>
      </c>
      <c r="AF98" s="4">
        <f t="shared" si="10"/>
        <v>93284.4278</v>
      </c>
      <c r="AG98" s="4">
        <f t="shared" si="10"/>
        <v>86340.882</v>
      </c>
      <c r="AH98" s="4">
        <f t="shared" si="10"/>
        <v>80980.75940000001</v>
      </c>
      <c r="AI98" s="4">
        <f t="shared" si="10"/>
        <v>94228.4448</v>
      </c>
    </row>
    <row r="99" spans="2:35" ht="12.75">
      <c r="B99" s="1" t="s">
        <v>54</v>
      </c>
      <c r="C99" s="4">
        <f>C72</f>
        <v>0</v>
      </c>
      <c r="D99" s="4">
        <f aca="true" t="shared" si="11" ref="D99:AI99">D72</f>
        <v>0</v>
      </c>
      <c r="E99" s="4">
        <f t="shared" si="11"/>
        <v>0</v>
      </c>
      <c r="F99" s="4">
        <f t="shared" si="11"/>
        <v>0</v>
      </c>
      <c r="G99" s="4">
        <f t="shared" si="11"/>
        <v>0</v>
      </c>
      <c r="H99" s="4">
        <f t="shared" si="11"/>
        <v>0</v>
      </c>
      <c r="I99" s="4">
        <f t="shared" si="11"/>
        <v>0</v>
      </c>
      <c r="J99" s="4">
        <f t="shared" si="11"/>
        <v>0</v>
      </c>
      <c r="K99" s="4">
        <f t="shared" si="11"/>
        <v>0</v>
      </c>
      <c r="L99" s="4">
        <f t="shared" si="11"/>
        <v>0</v>
      </c>
      <c r="M99" s="4">
        <f t="shared" si="11"/>
        <v>0</v>
      </c>
      <c r="N99" s="4">
        <f t="shared" si="11"/>
        <v>0</v>
      </c>
      <c r="O99" s="4">
        <f t="shared" si="11"/>
        <v>0</v>
      </c>
      <c r="P99" s="4">
        <f t="shared" si="11"/>
        <v>0</v>
      </c>
      <c r="Q99" s="4">
        <f t="shared" si="11"/>
        <v>0</v>
      </c>
      <c r="R99" s="4">
        <f t="shared" si="11"/>
        <v>0</v>
      </c>
      <c r="S99" s="4">
        <f t="shared" si="11"/>
        <v>0</v>
      </c>
      <c r="T99" s="4">
        <f t="shared" si="11"/>
        <v>0</v>
      </c>
      <c r="U99" s="4">
        <f t="shared" si="11"/>
        <v>0</v>
      </c>
      <c r="V99" s="4">
        <f t="shared" si="11"/>
        <v>0</v>
      </c>
      <c r="W99" s="4">
        <f t="shared" si="11"/>
        <v>0</v>
      </c>
      <c r="X99" s="4">
        <f t="shared" si="11"/>
        <v>0</v>
      </c>
      <c r="Y99" s="4">
        <f t="shared" si="11"/>
        <v>0</v>
      </c>
      <c r="Z99" s="4">
        <f t="shared" si="11"/>
        <v>0</v>
      </c>
      <c r="AA99" s="4">
        <f t="shared" si="11"/>
        <v>0</v>
      </c>
      <c r="AB99" s="4">
        <f t="shared" si="11"/>
        <v>416.432</v>
      </c>
      <c r="AC99" s="4">
        <f t="shared" si="11"/>
        <v>650.675</v>
      </c>
      <c r="AD99" s="4">
        <f t="shared" si="11"/>
        <v>1005.867</v>
      </c>
      <c r="AE99" s="4">
        <f t="shared" si="11"/>
        <v>1319.722</v>
      </c>
      <c r="AF99" s="4">
        <f t="shared" si="11"/>
        <v>2591.983</v>
      </c>
      <c r="AG99" s="4">
        <f t="shared" si="11"/>
        <v>3044.5667</v>
      </c>
      <c r="AH99" s="4">
        <f t="shared" si="11"/>
        <v>3780.3223</v>
      </c>
      <c r="AI99" s="4">
        <f t="shared" si="11"/>
        <v>4539.472</v>
      </c>
    </row>
    <row r="100" spans="2:35" ht="12.75">
      <c r="B100" s="1" t="s">
        <v>29</v>
      </c>
      <c r="C100" s="4">
        <f>SUM(C73:C75)</f>
        <v>16699.329999999998</v>
      </c>
      <c r="D100" s="4">
        <f aca="true" t="shared" si="12" ref="D100:AI100">SUM(D73:D75)</f>
        <v>20500.14</v>
      </c>
      <c r="E100" s="4">
        <f t="shared" si="12"/>
        <v>18310.768</v>
      </c>
      <c r="F100" s="4">
        <f t="shared" si="12"/>
        <v>18751.7565</v>
      </c>
      <c r="G100" s="4">
        <f t="shared" si="12"/>
        <v>18998.8255</v>
      </c>
      <c r="H100" s="4">
        <f t="shared" si="12"/>
        <v>19056.997499999998</v>
      </c>
      <c r="I100" s="4">
        <f t="shared" si="12"/>
        <v>19940.6265</v>
      </c>
      <c r="J100" s="4">
        <f t="shared" si="12"/>
        <v>20978.440000000002</v>
      </c>
      <c r="K100" s="4">
        <f t="shared" si="12"/>
        <v>19821.545</v>
      </c>
      <c r="L100" s="4">
        <f t="shared" si="12"/>
        <v>18843.103499999997</v>
      </c>
      <c r="M100" s="4">
        <f t="shared" si="12"/>
        <v>22648.169</v>
      </c>
      <c r="N100" s="4">
        <f t="shared" si="12"/>
        <v>20410.169499999996</v>
      </c>
      <c r="O100" s="4">
        <f t="shared" si="12"/>
        <v>22577.4295</v>
      </c>
      <c r="P100" s="4">
        <f t="shared" si="12"/>
        <v>20863.2725</v>
      </c>
      <c r="Q100" s="4">
        <f t="shared" si="12"/>
        <v>19684.046000000002</v>
      </c>
      <c r="R100" s="4">
        <f t="shared" si="12"/>
        <v>21329.7035</v>
      </c>
      <c r="S100" s="4">
        <f t="shared" si="12"/>
        <v>19966.620499999997</v>
      </c>
      <c r="T100" s="4">
        <f t="shared" si="12"/>
        <v>20199.215</v>
      </c>
      <c r="U100" s="4">
        <f t="shared" si="12"/>
        <v>20558.0395</v>
      </c>
      <c r="V100" s="4">
        <f t="shared" si="12"/>
        <v>20252.863</v>
      </c>
      <c r="W100" s="4">
        <f t="shared" si="12"/>
        <v>20680.6645</v>
      </c>
      <c r="X100" s="4">
        <f t="shared" si="12"/>
        <v>19124.790999999997</v>
      </c>
      <c r="Y100" s="4">
        <f t="shared" si="12"/>
        <v>20542.4195</v>
      </c>
      <c r="Z100" s="4">
        <f t="shared" si="12"/>
        <v>17937.478499999997</v>
      </c>
      <c r="AA100" s="4">
        <f t="shared" si="12"/>
        <v>20514.377500000002</v>
      </c>
      <c r="AB100" s="4">
        <f t="shared" si="12"/>
        <v>19828.269500000002</v>
      </c>
      <c r="AC100" s="4">
        <f t="shared" si="12"/>
        <v>18270.159</v>
      </c>
      <c r="AD100" s="4">
        <f t="shared" si="12"/>
        <v>19395.1886</v>
      </c>
      <c r="AE100" s="4">
        <f t="shared" si="12"/>
        <v>18064.3161</v>
      </c>
      <c r="AF100" s="4">
        <f t="shared" si="12"/>
        <v>19791.8488</v>
      </c>
      <c r="AG100" s="4">
        <f t="shared" si="12"/>
        <v>18735.2358</v>
      </c>
      <c r="AH100" s="4">
        <f t="shared" si="12"/>
        <v>18333.3547</v>
      </c>
      <c r="AI100" s="4">
        <f t="shared" si="12"/>
        <v>20046.143</v>
      </c>
    </row>
    <row r="101" spans="2:35" ht="12.75">
      <c r="B101" s="1" t="s">
        <v>30</v>
      </c>
      <c r="C101" s="4">
        <f>SUM(C76:C79)</f>
        <v>81113.70049999999</v>
      </c>
      <c r="D101" s="4">
        <f aca="true" t="shared" si="13" ref="D101:AI101">SUM(D76:D79)</f>
        <v>99233.48049999999</v>
      </c>
      <c r="E101" s="4">
        <f t="shared" si="13"/>
        <v>89168.50600000001</v>
      </c>
      <c r="F101" s="4">
        <f t="shared" si="13"/>
        <v>91906.9465</v>
      </c>
      <c r="G101" s="4">
        <f t="shared" si="13"/>
        <v>93118.102</v>
      </c>
      <c r="H101" s="4">
        <f t="shared" si="13"/>
        <v>92122.23999999999</v>
      </c>
      <c r="I101" s="4">
        <f t="shared" si="13"/>
        <v>98087.2255</v>
      </c>
      <c r="J101" s="4">
        <f t="shared" si="13"/>
        <v>100717.17450000001</v>
      </c>
      <c r="K101" s="4">
        <f t="shared" si="13"/>
        <v>98270.76</v>
      </c>
      <c r="L101" s="4">
        <f t="shared" si="13"/>
        <v>91302.4435</v>
      </c>
      <c r="M101" s="4">
        <f t="shared" si="13"/>
        <v>108192.3165</v>
      </c>
      <c r="N101" s="4">
        <f t="shared" si="13"/>
        <v>101294.967</v>
      </c>
      <c r="O101" s="4">
        <f t="shared" si="13"/>
        <v>106645.59</v>
      </c>
      <c r="P101" s="4">
        <f t="shared" si="13"/>
        <v>104566.5555</v>
      </c>
      <c r="Q101" s="4">
        <f t="shared" si="13"/>
        <v>98664.97450000001</v>
      </c>
      <c r="R101" s="4">
        <f t="shared" si="13"/>
        <v>105293.689</v>
      </c>
      <c r="S101" s="4">
        <f t="shared" si="13"/>
        <v>104315.95950000001</v>
      </c>
      <c r="T101" s="4">
        <f t="shared" si="13"/>
        <v>99316.38100000001</v>
      </c>
      <c r="U101" s="4">
        <f t="shared" si="13"/>
        <v>104896.11100000002</v>
      </c>
      <c r="V101" s="4">
        <f t="shared" si="13"/>
        <v>104503.5495</v>
      </c>
      <c r="W101" s="4">
        <f t="shared" si="13"/>
        <v>102117.7405</v>
      </c>
      <c r="X101" s="4">
        <f t="shared" si="13"/>
        <v>97002.722</v>
      </c>
      <c r="Y101" s="4">
        <f t="shared" si="13"/>
        <v>107666.692</v>
      </c>
      <c r="Z101" s="4">
        <f t="shared" si="13"/>
        <v>92825.17349999999</v>
      </c>
      <c r="AA101" s="4">
        <f t="shared" si="13"/>
        <v>108085.32849999999</v>
      </c>
      <c r="AB101" s="4">
        <f t="shared" si="13"/>
        <v>96051.66399999999</v>
      </c>
      <c r="AC101" s="4">
        <f t="shared" si="13"/>
        <v>89634.78749999999</v>
      </c>
      <c r="AD101" s="4">
        <f t="shared" si="13"/>
        <v>97446.709</v>
      </c>
      <c r="AE101" s="4">
        <f t="shared" si="13"/>
        <v>91178.2535</v>
      </c>
      <c r="AF101" s="4">
        <f t="shared" si="13"/>
        <v>98238.79389999999</v>
      </c>
      <c r="AG101" s="4">
        <f t="shared" si="13"/>
        <v>92418.5738</v>
      </c>
      <c r="AH101" s="4">
        <f t="shared" si="13"/>
        <v>81425.9593</v>
      </c>
      <c r="AI101" s="4">
        <f t="shared" si="13"/>
        <v>94271.17689999999</v>
      </c>
    </row>
    <row r="102" spans="2:35" ht="12.75">
      <c r="B102" s="1" t="s">
        <v>31</v>
      </c>
      <c r="C102" s="4">
        <f>SUM(C80:C82)</f>
        <v>6290.0685</v>
      </c>
      <c r="D102" s="4">
        <f aca="true" t="shared" si="14" ref="D102:AI102">SUM(D80:D82)</f>
        <v>11073.9915</v>
      </c>
      <c r="E102" s="4">
        <f t="shared" si="14"/>
        <v>11793.2145</v>
      </c>
      <c r="F102" s="4">
        <f t="shared" si="14"/>
        <v>11928.3135</v>
      </c>
      <c r="G102" s="4">
        <f t="shared" si="14"/>
        <v>12827.439</v>
      </c>
      <c r="H102" s="4">
        <f t="shared" si="14"/>
        <v>12199.506</v>
      </c>
      <c r="I102" s="4">
        <f t="shared" si="14"/>
        <v>12174.368999999999</v>
      </c>
      <c r="J102" s="4">
        <f t="shared" si="14"/>
        <v>12097.647</v>
      </c>
      <c r="K102" s="4">
        <f t="shared" si="14"/>
        <v>12077.9355</v>
      </c>
      <c r="L102" s="4">
        <f t="shared" si="14"/>
        <v>12424.7175</v>
      </c>
      <c r="M102" s="4">
        <f t="shared" si="14"/>
        <v>15051.628499999999</v>
      </c>
      <c r="N102" s="4">
        <f t="shared" si="14"/>
        <v>14844.2025</v>
      </c>
      <c r="O102" s="4">
        <f t="shared" si="14"/>
        <v>16788.684</v>
      </c>
      <c r="P102" s="4">
        <f t="shared" si="14"/>
        <v>17698.863</v>
      </c>
      <c r="Q102" s="4">
        <f t="shared" si="14"/>
        <v>16609.314</v>
      </c>
      <c r="R102" s="4">
        <f t="shared" si="14"/>
        <v>18110.2995</v>
      </c>
      <c r="S102" s="4">
        <f t="shared" si="14"/>
        <v>18268.353</v>
      </c>
      <c r="T102" s="4">
        <f t="shared" si="14"/>
        <v>17813.212499999998</v>
      </c>
      <c r="U102" s="4">
        <f t="shared" si="14"/>
        <v>19532.086499999998</v>
      </c>
      <c r="V102" s="4">
        <f t="shared" si="14"/>
        <v>20328.820499999998</v>
      </c>
      <c r="W102" s="4">
        <f t="shared" si="14"/>
        <v>20549.9355</v>
      </c>
      <c r="X102" s="4">
        <f t="shared" si="14"/>
        <v>21614.370000000003</v>
      </c>
      <c r="Y102" s="4">
        <f t="shared" si="14"/>
        <v>26611.7445</v>
      </c>
      <c r="Z102" s="4">
        <f t="shared" si="14"/>
        <v>24778.515000000003</v>
      </c>
      <c r="AA102" s="4">
        <f t="shared" si="14"/>
        <v>29647.4355</v>
      </c>
      <c r="AB102" s="4">
        <f t="shared" si="14"/>
        <v>32760.4605</v>
      </c>
      <c r="AC102" s="4">
        <f t="shared" si="14"/>
        <v>30387.710400000004</v>
      </c>
      <c r="AD102" s="4">
        <f t="shared" si="14"/>
        <v>35095.1971</v>
      </c>
      <c r="AE102" s="4">
        <f t="shared" si="14"/>
        <v>32958.994</v>
      </c>
      <c r="AF102" s="4">
        <f t="shared" si="14"/>
        <v>38573.6394</v>
      </c>
      <c r="AG102" s="4">
        <f t="shared" si="14"/>
        <v>36529.3015</v>
      </c>
      <c r="AH102" s="4">
        <f t="shared" si="14"/>
        <v>35521.2259</v>
      </c>
      <c r="AI102" s="4">
        <f t="shared" si="14"/>
        <v>42328.6495</v>
      </c>
    </row>
    <row r="103" spans="2:35" ht="12.75">
      <c r="B103" s="1" t="s">
        <v>32</v>
      </c>
      <c r="C103" s="4">
        <f>C83</f>
        <v>0</v>
      </c>
      <c r="D103" s="4">
        <f aca="true" t="shared" si="15" ref="D103:AI103">D83</f>
        <v>0</v>
      </c>
      <c r="E103" s="4">
        <f t="shared" si="15"/>
        <v>0</v>
      </c>
      <c r="F103" s="4">
        <f t="shared" si="15"/>
        <v>0</v>
      </c>
      <c r="G103" s="4">
        <f t="shared" si="15"/>
        <v>0</v>
      </c>
      <c r="H103" s="4">
        <f t="shared" si="15"/>
        <v>0</v>
      </c>
      <c r="I103" s="4">
        <f t="shared" si="15"/>
        <v>0</v>
      </c>
      <c r="J103" s="4">
        <f t="shared" si="15"/>
        <v>0</v>
      </c>
      <c r="K103" s="4">
        <f t="shared" si="15"/>
        <v>1053.3185</v>
      </c>
      <c r="L103" s="4">
        <f t="shared" si="15"/>
        <v>2810.353</v>
      </c>
      <c r="M103" s="4">
        <f t="shared" si="15"/>
        <v>6428.175</v>
      </c>
      <c r="N103" s="4">
        <f t="shared" si="15"/>
        <v>7925.827</v>
      </c>
      <c r="O103" s="4">
        <f t="shared" si="15"/>
        <v>10666.2595</v>
      </c>
      <c r="P103" s="4">
        <f t="shared" si="15"/>
        <v>11875.2075</v>
      </c>
      <c r="Q103" s="4">
        <f t="shared" si="15"/>
        <v>12227.0655</v>
      </c>
      <c r="R103" s="4">
        <f t="shared" si="15"/>
        <v>13528.489</v>
      </c>
      <c r="S103" s="4">
        <f t="shared" si="15"/>
        <v>15366.7215</v>
      </c>
      <c r="T103" s="4">
        <f t="shared" si="15"/>
        <v>16156.1465</v>
      </c>
      <c r="U103" s="4">
        <f t="shared" si="15"/>
        <v>16812.497</v>
      </c>
      <c r="V103" s="4">
        <f t="shared" si="15"/>
        <v>18707.117</v>
      </c>
      <c r="W103" s="4">
        <f t="shared" si="15"/>
        <v>19519.097</v>
      </c>
      <c r="X103" s="4">
        <f t="shared" si="15"/>
        <v>20069.439</v>
      </c>
      <c r="Y103" s="4">
        <f t="shared" si="15"/>
        <v>22236.9745</v>
      </c>
      <c r="Z103" s="4">
        <f t="shared" si="15"/>
        <v>19764.9465</v>
      </c>
      <c r="AA103" s="4">
        <f t="shared" si="15"/>
        <v>22469.291</v>
      </c>
      <c r="AB103" s="4">
        <f t="shared" si="15"/>
        <v>23554.1865</v>
      </c>
      <c r="AC103" s="4">
        <f t="shared" si="15"/>
        <v>21934.7375</v>
      </c>
      <c r="AD103" s="4">
        <f t="shared" si="15"/>
        <v>23680.4945</v>
      </c>
      <c r="AE103" s="4">
        <f t="shared" si="15"/>
        <v>21761.064</v>
      </c>
      <c r="AF103" s="4">
        <f t="shared" si="15"/>
        <v>24900.72</v>
      </c>
      <c r="AG103" s="4">
        <f t="shared" si="15"/>
        <v>23355.7025</v>
      </c>
      <c r="AH103" s="4">
        <f t="shared" si="15"/>
        <v>21332.519</v>
      </c>
      <c r="AI103" s="4">
        <f t="shared" si="15"/>
        <v>25121.759</v>
      </c>
    </row>
    <row r="104" spans="2:35" ht="12.75">
      <c r="B104" s="1" t="s">
        <v>33</v>
      </c>
      <c r="C104" s="4">
        <f>SUM(C84:C85)</f>
        <v>0</v>
      </c>
      <c r="D104" s="4">
        <f aca="true" t="shared" si="16" ref="D104:AI104">SUM(D84:D85)</f>
        <v>0</v>
      </c>
      <c r="E104" s="4">
        <f t="shared" si="16"/>
        <v>0</v>
      </c>
      <c r="F104" s="4">
        <f t="shared" si="16"/>
        <v>0</v>
      </c>
      <c r="G104" s="4">
        <f t="shared" si="16"/>
        <v>0</v>
      </c>
      <c r="H104" s="4">
        <f t="shared" si="16"/>
        <v>0</v>
      </c>
      <c r="I104" s="4">
        <f t="shared" si="16"/>
        <v>0</v>
      </c>
      <c r="J104" s="4">
        <f t="shared" si="16"/>
        <v>0</v>
      </c>
      <c r="K104" s="4">
        <f t="shared" si="16"/>
        <v>0</v>
      </c>
      <c r="L104" s="4">
        <f t="shared" si="16"/>
        <v>0</v>
      </c>
      <c r="M104" s="4">
        <f t="shared" si="16"/>
        <v>0</v>
      </c>
      <c r="N104" s="4">
        <f t="shared" si="16"/>
        <v>0</v>
      </c>
      <c r="O104" s="4">
        <f t="shared" si="16"/>
        <v>0</v>
      </c>
      <c r="P104" s="4">
        <f t="shared" si="16"/>
        <v>0</v>
      </c>
      <c r="Q104" s="4">
        <f t="shared" si="16"/>
        <v>0</v>
      </c>
      <c r="R104" s="4">
        <f t="shared" si="16"/>
        <v>0</v>
      </c>
      <c r="S104" s="4">
        <f t="shared" si="16"/>
        <v>0</v>
      </c>
      <c r="T104" s="4">
        <f t="shared" si="16"/>
        <v>0</v>
      </c>
      <c r="U104" s="4">
        <f t="shared" si="16"/>
        <v>0</v>
      </c>
      <c r="V104" s="4">
        <f t="shared" si="16"/>
        <v>0</v>
      </c>
      <c r="W104" s="4">
        <f t="shared" si="16"/>
        <v>501.105</v>
      </c>
      <c r="X104" s="4">
        <f t="shared" si="16"/>
        <v>3194.075</v>
      </c>
      <c r="Y104" s="4">
        <f t="shared" si="16"/>
        <v>7614.507</v>
      </c>
      <c r="Z104" s="4">
        <f t="shared" si="16"/>
        <v>8104.123</v>
      </c>
      <c r="AA104" s="4">
        <f t="shared" si="16"/>
        <v>14172.796999999999</v>
      </c>
      <c r="AB104" s="4">
        <f t="shared" si="16"/>
        <v>14658.914</v>
      </c>
      <c r="AC104" s="4">
        <f t="shared" si="16"/>
        <v>15049.846</v>
      </c>
      <c r="AD104" s="4">
        <f t="shared" si="16"/>
        <v>17080.932</v>
      </c>
      <c r="AE104" s="4">
        <f t="shared" si="16"/>
        <v>18037.481</v>
      </c>
      <c r="AF104" s="4">
        <f t="shared" si="16"/>
        <v>19860.036</v>
      </c>
      <c r="AG104" s="4">
        <f t="shared" si="16"/>
        <v>19250.182</v>
      </c>
      <c r="AH104" s="4">
        <f t="shared" si="16"/>
        <v>19975.510000000002</v>
      </c>
      <c r="AI104" s="4">
        <f t="shared" si="16"/>
        <v>24302.053</v>
      </c>
    </row>
    <row r="105" spans="2:35" ht="12.75">
      <c r="B105" s="1" t="s">
        <v>34</v>
      </c>
      <c r="C105" s="4">
        <f>C86</f>
        <v>424.274</v>
      </c>
      <c r="D105" s="4">
        <f aca="true" t="shared" si="17" ref="D105:AI105">D86</f>
        <v>379.452</v>
      </c>
      <c r="E105" s="4">
        <f t="shared" si="17"/>
        <v>403.398</v>
      </c>
      <c r="F105" s="4">
        <f t="shared" si="17"/>
        <v>354.892</v>
      </c>
      <c r="G105" s="4">
        <f t="shared" si="17"/>
        <v>343.226</v>
      </c>
      <c r="H105" s="4">
        <f t="shared" si="17"/>
        <v>366.558</v>
      </c>
      <c r="I105" s="4">
        <f t="shared" si="17"/>
        <v>354.892</v>
      </c>
      <c r="J105" s="4">
        <f t="shared" si="17"/>
        <v>390.504</v>
      </c>
      <c r="K105" s="4">
        <f t="shared" si="17"/>
        <v>363.488</v>
      </c>
      <c r="L105" s="4">
        <f t="shared" si="17"/>
        <v>326.648</v>
      </c>
      <c r="M105" s="4">
        <f t="shared" si="17"/>
        <v>464.798</v>
      </c>
      <c r="N105" s="4">
        <f t="shared" si="17"/>
        <v>378.838</v>
      </c>
      <c r="O105" s="4">
        <f t="shared" si="17"/>
        <v>415.064</v>
      </c>
      <c r="P105" s="4">
        <f t="shared" si="17"/>
        <v>388.048</v>
      </c>
      <c r="Q105" s="4">
        <f t="shared" si="17"/>
        <v>411.994</v>
      </c>
      <c r="R105" s="4">
        <f t="shared" si="17"/>
        <v>485.674</v>
      </c>
      <c r="S105" s="4">
        <f t="shared" si="17"/>
        <v>399.714</v>
      </c>
      <c r="T105" s="4">
        <f t="shared" si="17"/>
        <v>472.166</v>
      </c>
      <c r="U105" s="4">
        <f t="shared" si="17"/>
        <v>399.714</v>
      </c>
      <c r="V105" s="4">
        <f t="shared" si="17"/>
        <v>451.904</v>
      </c>
      <c r="W105" s="4">
        <f t="shared" si="17"/>
        <v>516.374</v>
      </c>
      <c r="X105" s="4">
        <f t="shared" si="17"/>
        <v>375.154</v>
      </c>
      <c r="Y105" s="4">
        <f t="shared" si="17"/>
        <v>431.642</v>
      </c>
      <c r="Z105" s="4">
        <f t="shared" si="17"/>
        <v>395.416</v>
      </c>
      <c r="AA105" s="4">
        <f t="shared" si="17"/>
        <v>407.696</v>
      </c>
      <c r="AB105" s="4">
        <f t="shared" si="17"/>
        <v>500.41</v>
      </c>
      <c r="AC105" s="4">
        <f t="shared" si="17"/>
        <v>379.452</v>
      </c>
      <c r="AD105" s="4">
        <f t="shared" si="17"/>
        <v>491.814</v>
      </c>
      <c r="AE105" s="4">
        <f t="shared" si="17"/>
        <v>418.748</v>
      </c>
      <c r="AF105" s="4">
        <f t="shared" si="17"/>
        <v>536.636</v>
      </c>
      <c r="AG105" s="4">
        <f t="shared" si="17"/>
        <v>507.778</v>
      </c>
      <c r="AH105" s="4">
        <f t="shared" si="17"/>
        <v>423.66</v>
      </c>
      <c r="AI105" s="4">
        <f t="shared" si="17"/>
        <v>531.11</v>
      </c>
    </row>
    <row r="106" spans="2:35" ht="12.75">
      <c r="B106" s="86" t="s">
        <v>35</v>
      </c>
      <c r="C106" s="4">
        <f>SUM(C87:C93)</f>
        <v>27938.494500000004</v>
      </c>
      <c r="D106" s="4">
        <f aca="true" t="shared" si="18" ref="D106:AI106">SUM(D87:D93)</f>
        <v>34388.625</v>
      </c>
      <c r="E106" s="4">
        <f t="shared" si="18"/>
        <v>32006.7765</v>
      </c>
      <c r="F106" s="4">
        <f t="shared" si="18"/>
        <v>31125.525</v>
      </c>
      <c r="G106" s="4">
        <f t="shared" si="18"/>
        <v>31585.562</v>
      </c>
      <c r="H106" s="4">
        <f t="shared" si="18"/>
        <v>31213.076</v>
      </c>
      <c r="I106" s="4">
        <f t="shared" si="18"/>
        <v>33470.493</v>
      </c>
      <c r="J106" s="4">
        <f t="shared" si="18"/>
        <v>34060.3355</v>
      </c>
      <c r="K106" s="4">
        <f t="shared" si="18"/>
        <v>32560.245500000005</v>
      </c>
      <c r="L106" s="4">
        <f t="shared" si="18"/>
        <v>30752.379</v>
      </c>
      <c r="M106" s="4">
        <f t="shared" si="18"/>
        <v>35453.484000000004</v>
      </c>
      <c r="N106" s="4">
        <f t="shared" si="18"/>
        <v>33526.0055</v>
      </c>
      <c r="O106" s="4">
        <f t="shared" si="18"/>
        <v>34601.926</v>
      </c>
      <c r="P106" s="4">
        <f t="shared" si="18"/>
        <v>33533.2195</v>
      </c>
      <c r="Q106" s="4">
        <f t="shared" si="18"/>
        <v>31847.3875</v>
      </c>
      <c r="R106" s="4">
        <f t="shared" si="18"/>
        <v>33942.468</v>
      </c>
      <c r="S106" s="4">
        <f t="shared" si="18"/>
        <v>33539.974500000004</v>
      </c>
      <c r="T106" s="4">
        <f t="shared" si="18"/>
        <v>32596.550999999996</v>
      </c>
      <c r="U106" s="4">
        <f t="shared" si="18"/>
        <v>34144.523</v>
      </c>
      <c r="V106" s="4">
        <f t="shared" si="18"/>
        <v>34359.7385</v>
      </c>
      <c r="W106" s="4">
        <f t="shared" si="18"/>
        <v>32845.0435</v>
      </c>
      <c r="X106" s="4">
        <f t="shared" si="18"/>
        <v>30719.0575</v>
      </c>
      <c r="Y106" s="4">
        <f t="shared" si="18"/>
        <v>34149.329</v>
      </c>
      <c r="Z106" s="4">
        <f t="shared" si="18"/>
        <v>28598.3335</v>
      </c>
      <c r="AA106" s="4">
        <f t="shared" si="18"/>
        <v>31201.43</v>
      </c>
      <c r="AB106" s="4">
        <f t="shared" si="18"/>
        <v>30085.5847</v>
      </c>
      <c r="AC106" s="4">
        <f t="shared" si="18"/>
        <v>26685.725199999997</v>
      </c>
      <c r="AD106" s="4">
        <f t="shared" si="18"/>
        <v>28435.8242</v>
      </c>
      <c r="AE106" s="4">
        <f t="shared" si="18"/>
        <v>26337.310999999998</v>
      </c>
      <c r="AF106" s="4">
        <f t="shared" si="18"/>
        <v>27782.7425</v>
      </c>
      <c r="AG106" s="4">
        <f t="shared" si="18"/>
        <v>25796.4165</v>
      </c>
      <c r="AH106" s="4">
        <f t="shared" si="18"/>
        <v>24284.3145</v>
      </c>
      <c r="AI106" s="4">
        <f t="shared" si="18"/>
        <v>27599.357500000002</v>
      </c>
    </row>
    <row r="107" spans="2:35" ht="13.5" thickBot="1">
      <c r="B107" s="2" t="s">
        <v>108</v>
      </c>
      <c r="C107" s="87">
        <f>C94</f>
        <v>0</v>
      </c>
      <c r="D107" s="87">
        <f aca="true" t="shared" si="19" ref="D107:AI107">D94</f>
        <v>0</v>
      </c>
      <c r="E107" s="87">
        <f t="shared" si="19"/>
        <v>0</v>
      </c>
      <c r="F107" s="87">
        <f t="shared" si="19"/>
        <v>0</v>
      </c>
      <c r="G107" s="87">
        <f t="shared" si="19"/>
        <v>0</v>
      </c>
      <c r="H107" s="87">
        <f t="shared" si="19"/>
        <v>0</v>
      </c>
      <c r="I107" s="87">
        <f t="shared" si="19"/>
        <v>0</v>
      </c>
      <c r="J107" s="87">
        <f t="shared" si="19"/>
        <v>0</v>
      </c>
      <c r="K107" s="87">
        <f t="shared" si="19"/>
        <v>0</v>
      </c>
      <c r="L107" s="87">
        <f t="shared" si="19"/>
        <v>0</v>
      </c>
      <c r="M107" s="87">
        <f t="shared" si="19"/>
        <v>0</v>
      </c>
      <c r="N107" s="87">
        <f t="shared" si="19"/>
        <v>0</v>
      </c>
      <c r="O107" s="87">
        <f t="shared" si="19"/>
        <v>0</v>
      </c>
      <c r="P107" s="87">
        <f t="shared" si="19"/>
        <v>0</v>
      </c>
      <c r="Q107" s="87">
        <f t="shared" si="19"/>
        <v>0</v>
      </c>
      <c r="R107" s="87">
        <f t="shared" si="19"/>
        <v>0</v>
      </c>
      <c r="S107" s="87">
        <f t="shared" si="19"/>
        <v>0</v>
      </c>
      <c r="T107" s="87">
        <f t="shared" si="19"/>
        <v>0</v>
      </c>
      <c r="U107" s="87">
        <f t="shared" si="19"/>
        <v>0</v>
      </c>
      <c r="V107" s="87">
        <f t="shared" si="19"/>
        <v>0</v>
      </c>
      <c r="W107" s="87">
        <f t="shared" si="19"/>
        <v>0</v>
      </c>
      <c r="X107" s="87">
        <f t="shared" si="19"/>
        <v>0</v>
      </c>
      <c r="Y107" s="87">
        <f t="shared" si="19"/>
        <v>0</v>
      </c>
      <c r="Z107" s="87">
        <f t="shared" si="19"/>
        <v>0</v>
      </c>
      <c r="AA107" s="87">
        <f t="shared" si="19"/>
        <v>0</v>
      </c>
      <c r="AB107" s="87">
        <f t="shared" si="19"/>
        <v>0</v>
      </c>
      <c r="AC107" s="87">
        <f t="shared" si="19"/>
        <v>0</v>
      </c>
      <c r="AD107" s="87">
        <f t="shared" si="19"/>
        <v>0</v>
      </c>
      <c r="AE107" s="87">
        <f t="shared" si="19"/>
        <v>0</v>
      </c>
      <c r="AF107" s="87">
        <f t="shared" si="19"/>
        <v>0</v>
      </c>
      <c r="AG107" s="87">
        <f t="shared" si="19"/>
        <v>0</v>
      </c>
      <c r="AH107" s="87">
        <f t="shared" si="19"/>
        <v>0</v>
      </c>
      <c r="AI107" s="87">
        <f t="shared" si="19"/>
        <v>175.245</v>
      </c>
    </row>
    <row r="108" spans="2:35" ht="13.5" thickTop="1">
      <c r="B108" s="3" t="s">
        <v>36</v>
      </c>
      <c r="C108" s="18">
        <f aca="true" t="shared" si="20" ref="C108:AI108">SUM(C97:C107)</f>
        <v>268007.1485</v>
      </c>
      <c r="D108" s="18">
        <f t="shared" si="20"/>
        <v>335038.683</v>
      </c>
      <c r="E108" s="18">
        <f t="shared" si="20"/>
        <v>306964.814</v>
      </c>
      <c r="F108" s="18">
        <f t="shared" si="20"/>
        <v>312241.885</v>
      </c>
      <c r="G108" s="18">
        <f t="shared" si="20"/>
        <v>314673.064</v>
      </c>
      <c r="H108" s="18">
        <f t="shared" si="20"/>
        <v>312828.19</v>
      </c>
      <c r="I108" s="18">
        <f t="shared" si="20"/>
        <v>328382.3845</v>
      </c>
      <c r="J108" s="18">
        <f t="shared" si="20"/>
        <v>336870.752</v>
      </c>
      <c r="K108" s="18">
        <f t="shared" si="20"/>
        <v>328490.88700000005</v>
      </c>
      <c r="L108" s="18">
        <f t="shared" si="20"/>
        <v>304838.959</v>
      </c>
      <c r="M108" s="18">
        <f t="shared" si="20"/>
        <v>366917.56899999996</v>
      </c>
      <c r="N108" s="18">
        <f t="shared" si="20"/>
        <v>346215.5255</v>
      </c>
      <c r="O108" s="18">
        <f t="shared" si="20"/>
        <v>364824.6025</v>
      </c>
      <c r="P108" s="18">
        <f t="shared" si="20"/>
        <v>353142.10850000003</v>
      </c>
      <c r="Q108" s="18">
        <f t="shared" si="20"/>
        <v>333439.19250000006</v>
      </c>
      <c r="R108" s="18">
        <f t="shared" si="20"/>
        <v>359447.52300000004</v>
      </c>
      <c r="S108" s="18">
        <f t="shared" si="20"/>
        <v>354327.3035</v>
      </c>
      <c r="T108" s="18">
        <f t="shared" si="20"/>
        <v>343654.6775</v>
      </c>
      <c r="U108" s="18">
        <f t="shared" si="20"/>
        <v>360644.04149999993</v>
      </c>
      <c r="V108" s="18">
        <f t="shared" si="20"/>
        <v>365530.71349999995</v>
      </c>
      <c r="W108" s="18">
        <f t="shared" si="20"/>
        <v>357526.48900000006</v>
      </c>
      <c r="X108" s="18">
        <f t="shared" si="20"/>
        <v>343186.2815</v>
      </c>
      <c r="Y108" s="18">
        <f t="shared" si="20"/>
        <v>385045.94850000006</v>
      </c>
      <c r="Z108" s="18">
        <f t="shared" si="20"/>
        <v>338487.82000000007</v>
      </c>
      <c r="AA108" s="18">
        <f t="shared" si="20"/>
        <v>391813.93500000006</v>
      </c>
      <c r="AB108" s="18">
        <f t="shared" si="20"/>
        <v>378901.7421999999</v>
      </c>
      <c r="AC108" s="18">
        <f t="shared" si="20"/>
        <v>348172.7885999999</v>
      </c>
      <c r="AD108" s="18">
        <f t="shared" si="20"/>
        <v>368824.1689</v>
      </c>
      <c r="AE108" s="18">
        <f t="shared" si="20"/>
        <v>343775.1878000001</v>
      </c>
      <c r="AF108" s="18">
        <f t="shared" si="20"/>
        <v>374507.82339999994</v>
      </c>
      <c r="AG108" s="18">
        <f t="shared" si="20"/>
        <v>351949.5858</v>
      </c>
      <c r="AH108" s="18">
        <f t="shared" si="20"/>
        <v>330449.1101</v>
      </c>
      <c r="AI108" s="18">
        <f t="shared" si="20"/>
        <v>383265.3397</v>
      </c>
    </row>
    <row r="109" spans="2:35" s="14" customFormat="1" ht="13.5" thickBot="1">
      <c r="B109" s="19" t="s">
        <v>37</v>
      </c>
      <c r="C109" s="20">
        <f>SUM(C97:C99)</f>
        <v>135541.28100000002</v>
      </c>
      <c r="D109" s="20">
        <f aca="true" t="shared" si="21" ref="D109:AI109">SUM(D97:D99)</f>
        <v>169462.994</v>
      </c>
      <c r="E109" s="20">
        <f t="shared" si="21"/>
        <v>155282.151</v>
      </c>
      <c r="F109" s="20">
        <f t="shared" si="21"/>
        <v>158174.4515</v>
      </c>
      <c r="G109" s="20">
        <f t="shared" si="21"/>
        <v>157799.9095</v>
      </c>
      <c r="H109" s="20">
        <f t="shared" si="21"/>
        <v>157869.8125</v>
      </c>
      <c r="I109" s="20">
        <f t="shared" si="21"/>
        <v>164354.7785</v>
      </c>
      <c r="J109" s="20">
        <f t="shared" si="21"/>
        <v>168626.65099999998</v>
      </c>
      <c r="K109" s="20">
        <f t="shared" si="21"/>
        <v>164343.5945</v>
      </c>
      <c r="L109" s="20">
        <f t="shared" si="21"/>
        <v>148379.31449999998</v>
      </c>
      <c r="M109" s="20">
        <f t="shared" si="21"/>
        <v>178678.998</v>
      </c>
      <c r="N109" s="20">
        <f t="shared" si="21"/>
        <v>167835.516</v>
      </c>
      <c r="O109" s="20">
        <f t="shared" si="21"/>
        <v>173129.6495</v>
      </c>
      <c r="P109" s="20">
        <f t="shared" si="21"/>
        <v>164216.9425</v>
      </c>
      <c r="Q109" s="20">
        <f t="shared" si="21"/>
        <v>153994.411</v>
      </c>
      <c r="R109" s="20">
        <f t="shared" si="21"/>
        <v>166757.2</v>
      </c>
      <c r="S109" s="20">
        <f t="shared" si="21"/>
        <v>162469.9605</v>
      </c>
      <c r="T109" s="20">
        <f t="shared" si="21"/>
        <v>157101.0055</v>
      </c>
      <c r="U109" s="20">
        <f t="shared" si="21"/>
        <v>164301.0705</v>
      </c>
      <c r="V109" s="20">
        <f t="shared" si="21"/>
        <v>166926.721</v>
      </c>
      <c r="W109" s="20">
        <f t="shared" si="21"/>
        <v>160796.52899999998</v>
      </c>
      <c r="X109" s="20">
        <f t="shared" si="21"/>
        <v>151086.673</v>
      </c>
      <c r="Y109" s="20">
        <f t="shared" si="21"/>
        <v>165792.64</v>
      </c>
      <c r="Z109" s="20">
        <f t="shared" si="21"/>
        <v>146083.834</v>
      </c>
      <c r="AA109" s="20">
        <f t="shared" si="21"/>
        <v>165315.5795</v>
      </c>
      <c r="AB109" s="20">
        <f t="shared" si="21"/>
        <v>161462.253</v>
      </c>
      <c r="AC109" s="20">
        <f t="shared" si="21"/>
        <v>145830.37099999998</v>
      </c>
      <c r="AD109" s="20">
        <f t="shared" si="21"/>
        <v>147198.00950000001</v>
      </c>
      <c r="AE109" s="20">
        <f t="shared" si="21"/>
        <v>135019.02020000003</v>
      </c>
      <c r="AF109" s="20">
        <f t="shared" si="21"/>
        <v>144823.4068</v>
      </c>
      <c r="AG109" s="20">
        <f t="shared" si="21"/>
        <v>135356.3957</v>
      </c>
      <c r="AH109" s="20">
        <f t="shared" si="21"/>
        <v>129152.56670000001</v>
      </c>
      <c r="AI109" s="20">
        <f t="shared" si="21"/>
        <v>148889.8458</v>
      </c>
    </row>
    <row r="110" spans="2:35" s="14" customFormat="1" ht="14.25" thickBot="1" thickTop="1">
      <c r="B110" s="59" t="s">
        <v>68</v>
      </c>
      <c r="C110" s="60">
        <f>C97+C98+C100+C101+C102</f>
        <v>239644.38</v>
      </c>
      <c r="D110" s="60">
        <f aca="true" t="shared" si="22" ref="D110:AI110">D97+D98+D100+D101+D102</f>
        <v>300270.606</v>
      </c>
      <c r="E110" s="60">
        <f t="shared" si="22"/>
        <v>274554.63950000005</v>
      </c>
      <c r="F110" s="60">
        <f t="shared" si="22"/>
        <v>280761.468</v>
      </c>
      <c r="G110" s="60">
        <f t="shared" si="22"/>
        <v>282744.276</v>
      </c>
      <c r="H110" s="60">
        <f t="shared" si="22"/>
        <v>281248.556</v>
      </c>
      <c r="I110" s="60">
        <f t="shared" si="22"/>
        <v>294556.9995</v>
      </c>
      <c r="J110" s="60">
        <f t="shared" si="22"/>
        <v>302419.9125</v>
      </c>
      <c r="K110" s="60">
        <f t="shared" si="22"/>
        <v>294513.835</v>
      </c>
      <c r="L110" s="60">
        <f t="shared" si="22"/>
        <v>270949.57899999997</v>
      </c>
      <c r="M110" s="60">
        <f t="shared" si="22"/>
        <v>324571.11199999996</v>
      </c>
      <c r="N110" s="60">
        <f t="shared" si="22"/>
        <v>304384.855</v>
      </c>
      <c r="O110" s="60">
        <f t="shared" si="22"/>
        <v>319141.353</v>
      </c>
      <c r="P110" s="60">
        <f t="shared" si="22"/>
        <v>307345.6335</v>
      </c>
      <c r="Q110" s="60">
        <f t="shared" si="22"/>
        <v>288952.7455</v>
      </c>
      <c r="R110" s="60">
        <f t="shared" si="22"/>
        <v>311490.89200000005</v>
      </c>
      <c r="S110" s="60">
        <f t="shared" si="22"/>
        <v>305020.8935</v>
      </c>
      <c r="T110" s="60">
        <f t="shared" si="22"/>
        <v>294429.814</v>
      </c>
      <c r="U110" s="60">
        <f t="shared" si="22"/>
        <v>309287.3075</v>
      </c>
      <c r="V110" s="60">
        <f t="shared" si="22"/>
        <v>312011.95399999997</v>
      </c>
      <c r="W110" s="60">
        <f t="shared" si="22"/>
        <v>304144.86950000003</v>
      </c>
      <c r="X110" s="60">
        <f t="shared" si="22"/>
        <v>288828.556</v>
      </c>
      <c r="Y110" s="60">
        <f t="shared" si="22"/>
        <v>320613.49600000004</v>
      </c>
      <c r="Z110" s="60">
        <f t="shared" si="22"/>
        <v>281625.001</v>
      </c>
      <c r="AA110" s="60">
        <f t="shared" si="22"/>
        <v>323562.721</v>
      </c>
      <c r="AB110" s="60">
        <f t="shared" si="22"/>
        <v>309686.21499999997</v>
      </c>
      <c r="AC110" s="60">
        <f t="shared" si="22"/>
        <v>283472.35289999994</v>
      </c>
      <c r="AD110" s="60">
        <f t="shared" si="22"/>
        <v>298129.2372</v>
      </c>
      <c r="AE110" s="60">
        <f t="shared" si="22"/>
        <v>275900.8618</v>
      </c>
      <c r="AF110" s="60">
        <f t="shared" si="22"/>
        <v>298835.7059</v>
      </c>
      <c r="AG110" s="60">
        <f t="shared" si="22"/>
        <v>279994.9401</v>
      </c>
      <c r="AH110" s="60">
        <f t="shared" si="22"/>
        <v>260652.78430000003</v>
      </c>
      <c r="AI110" s="60">
        <f t="shared" si="22"/>
        <v>300996.3432</v>
      </c>
    </row>
    <row r="111" spans="2:35" s="14" customFormat="1" ht="13.5" thickTop="1">
      <c r="B111" s="1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</row>
    <row r="112" spans="2:35" s="14" customFormat="1" ht="12.75">
      <c r="B112" s="15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spans="2:35" ht="12.75"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</row>
    <row r="114" spans="2:35" ht="13.5" thickBot="1">
      <c r="B114" s="11" t="s">
        <v>0</v>
      </c>
      <c r="C114" s="12">
        <v>38108</v>
      </c>
      <c r="D114" s="12">
        <v>38139</v>
      </c>
      <c r="E114" s="12">
        <v>38169</v>
      </c>
      <c r="F114" s="12">
        <v>38200</v>
      </c>
      <c r="G114" s="12">
        <v>38231</v>
      </c>
      <c r="H114" s="12">
        <v>38261</v>
      </c>
      <c r="I114" s="12">
        <v>38292</v>
      </c>
      <c r="J114" s="12">
        <v>38322</v>
      </c>
      <c r="K114" s="12">
        <v>38353</v>
      </c>
      <c r="L114" s="12">
        <v>38384</v>
      </c>
      <c r="M114" s="12">
        <v>38412</v>
      </c>
      <c r="N114" s="12">
        <v>38443</v>
      </c>
      <c r="O114" s="12">
        <v>38473</v>
      </c>
      <c r="P114" s="12">
        <v>38504</v>
      </c>
      <c r="Q114" s="12">
        <v>38534</v>
      </c>
      <c r="R114" s="12">
        <v>38565</v>
      </c>
      <c r="S114" s="12">
        <v>38596</v>
      </c>
      <c r="T114" s="12">
        <v>38626</v>
      </c>
      <c r="U114" s="12">
        <v>38657</v>
      </c>
      <c r="V114" s="12">
        <v>38687</v>
      </c>
      <c r="W114" s="12">
        <v>38718</v>
      </c>
      <c r="X114" s="12">
        <v>38749</v>
      </c>
      <c r="Y114" s="12">
        <v>38777</v>
      </c>
      <c r="Z114" s="12">
        <v>38808</v>
      </c>
      <c r="AA114" s="12">
        <v>38838</v>
      </c>
      <c r="AB114" s="12">
        <v>38869</v>
      </c>
      <c r="AC114" s="12">
        <v>38899</v>
      </c>
      <c r="AD114" s="12">
        <v>38930</v>
      </c>
      <c r="AE114" s="12">
        <v>38961</v>
      </c>
      <c r="AF114" s="12">
        <v>38991</v>
      </c>
      <c r="AG114" s="12">
        <v>39022</v>
      </c>
      <c r="AH114" s="12">
        <v>39052</v>
      </c>
      <c r="AI114" s="12">
        <v>39083</v>
      </c>
    </row>
    <row r="115" spans="2:35" ht="13.5" thickTop="1">
      <c r="B115" s="7" t="s">
        <v>27</v>
      </c>
      <c r="C115" s="10">
        <f aca="true" t="shared" si="23" ref="C115:C123">C97/C$108</f>
        <v>0.15709280232127837</v>
      </c>
      <c r="D115" s="10">
        <f aca="true" t="shared" si="24" ref="D115:AI122">D97/D$108</f>
        <v>0.1632944590460917</v>
      </c>
      <c r="E115" s="10">
        <f t="shared" si="24"/>
        <v>0.15783530486331243</v>
      </c>
      <c r="F115" s="10">
        <f t="shared" si="24"/>
        <v>0.16023366948351594</v>
      </c>
      <c r="G115" s="10">
        <f t="shared" si="24"/>
        <v>0.1562440438181261</v>
      </c>
      <c r="H115" s="10">
        <f t="shared" si="24"/>
        <v>0.15402996609736483</v>
      </c>
      <c r="I115" s="10">
        <f t="shared" si="24"/>
        <v>0.1552348311180498</v>
      </c>
      <c r="J115" s="10">
        <f t="shared" si="24"/>
        <v>0.15589295356813881</v>
      </c>
      <c r="K115" s="10">
        <f t="shared" si="24"/>
        <v>0.15149926670568487</v>
      </c>
      <c r="L115" s="10">
        <f t="shared" si="24"/>
        <v>0.15014106513859343</v>
      </c>
      <c r="M115" s="10">
        <f t="shared" si="24"/>
        <v>0.1463663368488087</v>
      </c>
      <c r="N115" s="10">
        <f t="shared" si="24"/>
        <v>0.14616546565009547</v>
      </c>
      <c r="O115" s="10">
        <f t="shared" si="24"/>
        <v>0.14011010126434661</v>
      </c>
      <c r="P115" s="10">
        <f t="shared" si="24"/>
        <v>0.13010461056359693</v>
      </c>
      <c r="Q115" s="10">
        <f t="shared" si="24"/>
        <v>0.13028445358894034</v>
      </c>
      <c r="R115" s="10">
        <f t="shared" si="24"/>
        <v>0.13116796745877143</v>
      </c>
      <c r="S115" s="10">
        <f t="shared" si="24"/>
        <v>0.12883108371579385</v>
      </c>
      <c r="T115" s="10">
        <f t="shared" si="24"/>
        <v>0.13084972777651194</v>
      </c>
      <c r="U115" s="10">
        <f t="shared" si="24"/>
        <v>0.13295335977428038</v>
      </c>
      <c r="V115" s="10">
        <f t="shared" si="24"/>
        <v>0.13422507107600415</v>
      </c>
      <c r="W115" s="10">
        <f t="shared" si="24"/>
        <v>0.13037704179731419</v>
      </c>
      <c r="X115" s="10">
        <f t="shared" si="24"/>
        <v>0.1265581444869031</v>
      </c>
      <c r="Y115" s="10">
        <f t="shared" si="24"/>
        <v>0.12501743152350034</v>
      </c>
      <c r="Z115" s="10">
        <f t="shared" si="24"/>
        <v>0.1253997765709856</v>
      </c>
      <c r="AA115" s="10">
        <f t="shared" si="24"/>
        <v>0.12308927705697856</v>
      </c>
      <c r="AB115" s="10">
        <f t="shared" si="24"/>
        <v>0.12279944591925399</v>
      </c>
      <c r="AC115" s="10">
        <f t="shared" si="24"/>
        <v>0.1291055475091772</v>
      </c>
      <c r="AD115" s="10">
        <f t="shared" si="24"/>
        <v>0.12567066886705863</v>
      </c>
      <c r="AE115" s="10">
        <f t="shared" si="24"/>
        <v>0.13020311845787025</v>
      </c>
      <c r="AF115" s="10">
        <f t="shared" si="24"/>
        <v>0.13069685849451873</v>
      </c>
      <c r="AG115" s="10">
        <f t="shared" si="24"/>
        <v>0.13061798864034918</v>
      </c>
      <c r="AH115" s="10">
        <f t="shared" si="24"/>
        <v>0.1343368271942579</v>
      </c>
      <c r="AI115" s="10">
        <f t="shared" si="24"/>
        <v>0.13077605462375705</v>
      </c>
    </row>
    <row r="116" spans="2:35" ht="12.75">
      <c r="B116" s="1" t="s">
        <v>28</v>
      </c>
      <c r="C116" s="5">
        <f t="shared" si="23"/>
        <v>0.34864475639163783</v>
      </c>
      <c r="D116" s="5">
        <f t="shared" si="24"/>
        <v>0.3425068188320212</v>
      </c>
      <c r="E116" s="5">
        <f t="shared" si="24"/>
        <v>0.3480277254187185</v>
      </c>
      <c r="F116" s="5">
        <f t="shared" si="24"/>
        <v>0.3463429914279437</v>
      </c>
      <c r="G116" s="5">
        <f t="shared" si="24"/>
        <v>0.3452285242311048</v>
      </c>
      <c r="H116" s="5">
        <f t="shared" si="24"/>
        <v>0.35062344285532576</v>
      </c>
      <c r="I116" s="5">
        <f t="shared" si="24"/>
        <v>0.3452633266934573</v>
      </c>
      <c r="J116" s="5">
        <f t="shared" si="24"/>
        <v>0.344674845799614</v>
      </c>
      <c r="K116" s="5">
        <f t="shared" si="24"/>
        <v>0.3487995269713524</v>
      </c>
      <c r="L116" s="5">
        <f t="shared" si="24"/>
        <v>0.33660549437842685</v>
      </c>
      <c r="M116" s="5">
        <f t="shared" si="24"/>
        <v>0.3406067958005031</v>
      </c>
      <c r="N116" s="5">
        <f t="shared" si="24"/>
        <v>0.338606312731634</v>
      </c>
      <c r="O116" s="5">
        <f t="shared" si="24"/>
        <v>0.33444574917339903</v>
      </c>
      <c r="P116" s="5">
        <f t="shared" si="24"/>
        <v>0.334911989120663</v>
      </c>
      <c r="Q116" s="5">
        <f t="shared" si="24"/>
        <v>0.3315521105096245</v>
      </c>
      <c r="R116" s="5">
        <f t="shared" si="24"/>
        <v>0.33275844552140643</v>
      </c>
      <c r="S116" s="5">
        <f t="shared" si="24"/>
        <v>0.3296996557873221</v>
      </c>
      <c r="T116" s="5">
        <f t="shared" si="24"/>
        <v>0.3262981470694517</v>
      </c>
      <c r="U116" s="5">
        <f t="shared" si="24"/>
        <v>0.32262347387208956</v>
      </c>
      <c r="V116" s="5">
        <f t="shared" si="24"/>
        <v>0.32244440931226975</v>
      </c>
      <c r="W116" s="5">
        <f t="shared" si="24"/>
        <v>0.3193701348377574</v>
      </c>
      <c r="X116" s="5">
        <f t="shared" si="24"/>
        <v>0.31368868688301577</v>
      </c>
      <c r="Y116" s="5">
        <f t="shared" si="24"/>
        <v>0.30556141405549675</v>
      </c>
      <c r="Z116" s="5">
        <f t="shared" si="24"/>
        <v>0.3061780391388972</v>
      </c>
      <c r="AA116" s="5">
        <f t="shared" si="24"/>
        <v>0.2988344084801373</v>
      </c>
      <c r="AB116" s="5">
        <f t="shared" si="24"/>
        <v>0.3022337567916309</v>
      </c>
      <c r="AC116" s="5">
        <f t="shared" si="24"/>
        <v>0.2878704504824132</v>
      </c>
      <c r="AD116" s="5">
        <f t="shared" si="24"/>
        <v>0.2707028739406454</v>
      </c>
      <c r="AE116" s="5">
        <f t="shared" si="24"/>
        <v>0.25871179729161353</v>
      </c>
      <c r="AF116" s="5">
        <f t="shared" si="24"/>
        <v>0.24908539146955513</v>
      </c>
      <c r="AG116" s="5">
        <f t="shared" si="24"/>
        <v>0.24532173209905223</v>
      </c>
      <c r="AH116" s="5">
        <f t="shared" si="24"/>
        <v>0.2450627250153397</v>
      </c>
      <c r="AI116" s="5">
        <f t="shared" si="24"/>
        <v>0.24585694306131903</v>
      </c>
    </row>
    <row r="117" spans="2:35" ht="12.75">
      <c r="B117" s="1" t="s">
        <v>54</v>
      </c>
      <c r="C117" s="5">
        <f t="shared" si="23"/>
        <v>0</v>
      </c>
      <c r="D117" s="5">
        <f t="shared" si="24"/>
        <v>0</v>
      </c>
      <c r="E117" s="5">
        <f t="shared" si="24"/>
        <v>0</v>
      </c>
      <c r="F117" s="5">
        <f t="shared" si="24"/>
        <v>0</v>
      </c>
      <c r="G117" s="5">
        <f t="shared" si="24"/>
        <v>0</v>
      </c>
      <c r="H117" s="5">
        <f t="shared" si="24"/>
        <v>0</v>
      </c>
      <c r="I117" s="5">
        <f t="shared" si="24"/>
        <v>0</v>
      </c>
      <c r="J117" s="5">
        <f t="shared" si="24"/>
        <v>0</v>
      </c>
      <c r="K117" s="5">
        <f t="shared" si="24"/>
        <v>0</v>
      </c>
      <c r="L117" s="5">
        <f t="shared" si="24"/>
        <v>0</v>
      </c>
      <c r="M117" s="5">
        <f t="shared" si="24"/>
        <v>0</v>
      </c>
      <c r="N117" s="5">
        <f t="shared" si="24"/>
        <v>0</v>
      </c>
      <c r="O117" s="5">
        <f t="shared" si="24"/>
        <v>0</v>
      </c>
      <c r="P117" s="5">
        <f t="shared" si="24"/>
        <v>0</v>
      </c>
      <c r="Q117" s="5">
        <f t="shared" si="24"/>
        <v>0</v>
      </c>
      <c r="R117" s="5">
        <f t="shared" si="24"/>
        <v>0</v>
      </c>
      <c r="S117" s="5">
        <f t="shared" si="24"/>
        <v>0</v>
      </c>
      <c r="T117" s="5">
        <f t="shared" si="24"/>
        <v>0</v>
      </c>
      <c r="U117" s="5">
        <f t="shared" si="24"/>
        <v>0</v>
      </c>
      <c r="V117" s="5">
        <f t="shared" si="24"/>
        <v>0</v>
      </c>
      <c r="W117" s="5">
        <f t="shared" si="24"/>
        <v>0</v>
      </c>
      <c r="X117" s="5">
        <f t="shared" si="24"/>
        <v>0</v>
      </c>
      <c r="Y117" s="5">
        <f t="shared" si="24"/>
        <v>0</v>
      </c>
      <c r="Z117" s="5">
        <f t="shared" si="24"/>
        <v>0</v>
      </c>
      <c r="AA117" s="5">
        <f t="shared" si="24"/>
        <v>0</v>
      </c>
      <c r="AB117" s="5">
        <f t="shared" si="24"/>
        <v>0.0010990501061887176</v>
      </c>
      <c r="AC117" s="5">
        <f t="shared" si="24"/>
        <v>0.0018688278386612552</v>
      </c>
      <c r="AD117" s="5">
        <f t="shared" si="24"/>
        <v>0.0027272263718507088</v>
      </c>
      <c r="AE117" s="5">
        <f t="shared" si="24"/>
        <v>0.0038389099819728166</v>
      </c>
      <c r="AF117" s="5">
        <f t="shared" si="24"/>
        <v>0.0069210383283010496</v>
      </c>
      <c r="AG117" s="5">
        <f t="shared" si="24"/>
        <v>0.008650576170105553</v>
      </c>
      <c r="AH117" s="5">
        <f t="shared" si="24"/>
        <v>0.011439953034995327</v>
      </c>
      <c r="AI117" s="5">
        <f t="shared" si="24"/>
        <v>0.011844201731242539</v>
      </c>
    </row>
    <row r="118" spans="2:35" ht="12.75">
      <c r="B118" s="1" t="s">
        <v>29</v>
      </c>
      <c r="C118" s="5">
        <f t="shared" si="23"/>
        <v>0.062309270829020436</v>
      </c>
      <c r="D118" s="5">
        <f t="shared" si="24"/>
        <v>0.061187382353696744</v>
      </c>
      <c r="E118" s="5">
        <f t="shared" si="24"/>
        <v>0.05965103218637951</v>
      </c>
      <c r="F118" s="5">
        <f t="shared" si="24"/>
        <v>0.06005522449366458</v>
      </c>
      <c r="G118" s="5">
        <f t="shared" si="24"/>
        <v>0.06037639592818786</v>
      </c>
      <c r="H118" s="5">
        <f t="shared" si="24"/>
        <v>0.06091841499322678</v>
      </c>
      <c r="I118" s="5">
        <f t="shared" si="24"/>
        <v>0.06072380079206106</v>
      </c>
      <c r="J118" s="5">
        <f t="shared" si="24"/>
        <v>0.0622744476196022</v>
      </c>
      <c r="K118" s="5">
        <f t="shared" si="24"/>
        <v>0.06034123254079799</v>
      </c>
      <c r="L118" s="5">
        <f t="shared" si="24"/>
        <v>0.061813304840737236</v>
      </c>
      <c r="M118" s="5">
        <f t="shared" si="24"/>
        <v>0.06172549616995856</v>
      </c>
      <c r="N118" s="5">
        <f t="shared" si="24"/>
        <v>0.05895220750289547</v>
      </c>
      <c r="O118" s="5">
        <f t="shared" si="24"/>
        <v>0.06188570985971265</v>
      </c>
      <c r="P118" s="5">
        <f t="shared" si="24"/>
        <v>0.05907897132012507</v>
      </c>
      <c r="Q118" s="5">
        <f t="shared" si="24"/>
        <v>0.059033390323484536</v>
      </c>
      <c r="R118" s="5">
        <f t="shared" si="24"/>
        <v>0.05934024338790616</v>
      </c>
      <c r="S118" s="5">
        <f t="shared" si="24"/>
        <v>0.056350781615676415</v>
      </c>
      <c r="T118" s="5">
        <f t="shared" si="24"/>
        <v>0.05877765187700668</v>
      </c>
      <c r="U118" s="5">
        <f t="shared" si="24"/>
        <v>0.05700368544699775</v>
      </c>
      <c r="V118" s="5">
        <f t="shared" si="24"/>
        <v>0.05540673396792416</v>
      </c>
      <c r="W118" s="5">
        <f t="shared" si="24"/>
        <v>0.05784372665041889</v>
      </c>
      <c r="X118" s="5">
        <f t="shared" si="24"/>
        <v>0.05572714304432358</v>
      </c>
      <c r="Y118" s="5">
        <f t="shared" si="24"/>
        <v>0.05335056654933222</v>
      </c>
      <c r="Z118" s="5">
        <f t="shared" si="24"/>
        <v>0.052992980663233304</v>
      </c>
      <c r="AA118" s="5">
        <f t="shared" si="24"/>
        <v>0.0523574474195258</v>
      </c>
      <c r="AB118" s="5">
        <f t="shared" si="24"/>
        <v>0.05233090084218675</v>
      </c>
      <c r="AC118" s="5">
        <f t="shared" si="24"/>
        <v>0.05247440236057553</v>
      </c>
      <c r="AD118" s="5">
        <f t="shared" si="24"/>
        <v>0.052586544579888025</v>
      </c>
      <c r="AE118" s="5">
        <f t="shared" si="24"/>
        <v>0.052546887445842586</v>
      </c>
      <c r="AF118" s="5">
        <f t="shared" si="24"/>
        <v>0.05284762443763679</v>
      </c>
      <c r="AG118" s="5">
        <f t="shared" si="24"/>
        <v>0.05323272581047032</v>
      </c>
      <c r="AH118" s="5">
        <f t="shared" si="24"/>
        <v>0.05548011521184605</v>
      </c>
      <c r="AI118" s="5">
        <f t="shared" si="24"/>
        <v>0.052303563415598886</v>
      </c>
    </row>
    <row r="119" spans="2:35" ht="12.75">
      <c r="B119" s="1" t="s">
        <v>30</v>
      </c>
      <c r="C119" s="5">
        <f t="shared" si="23"/>
        <v>0.30265498869706453</v>
      </c>
      <c r="D119" s="5">
        <f t="shared" si="24"/>
        <v>0.2961851437912917</v>
      </c>
      <c r="E119" s="5">
        <f t="shared" si="24"/>
        <v>0.29048445272297563</v>
      </c>
      <c r="F119" s="5">
        <f t="shared" si="24"/>
        <v>0.2943453486389246</v>
      </c>
      <c r="G119" s="5">
        <f t="shared" si="24"/>
        <v>0.29592015540294225</v>
      </c>
      <c r="H119" s="5">
        <f t="shared" si="24"/>
        <v>0.29448190075197506</v>
      </c>
      <c r="I119" s="5">
        <f t="shared" si="24"/>
        <v>0.2986981949392599</v>
      </c>
      <c r="J119" s="5">
        <f t="shared" si="24"/>
        <v>0.2989786851545961</v>
      </c>
      <c r="K119" s="5">
        <f t="shared" si="24"/>
        <v>0.29915825336122637</v>
      </c>
      <c r="L119" s="5">
        <f t="shared" si="24"/>
        <v>0.29951041625227437</v>
      </c>
      <c r="M119" s="5">
        <f t="shared" si="24"/>
        <v>0.29486818195941994</v>
      </c>
      <c r="N119" s="5">
        <f t="shared" si="24"/>
        <v>0.2925777717614227</v>
      </c>
      <c r="O119" s="5">
        <f t="shared" si="24"/>
        <v>0.2923201704852128</v>
      </c>
      <c r="P119" s="5">
        <f t="shared" si="24"/>
        <v>0.2961033334261807</v>
      </c>
      <c r="Q119" s="5">
        <f t="shared" si="24"/>
        <v>0.2959009520154113</v>
      </c>
      <c r="R119" s="5">
        <f t="shared" si="24"/>
        <v>0.292932020010053</v>
      </c>
      <c r="S119" s="5">
        <f t="shared" si="24"/>
        <v>0.2944056483075965</v>
      </c>
      <c r="T119" s="5">
        <f t="shared" si="24"/>
        <v>0.2890005214609657</v>
      </c>
      <c r="U119" s="5">
        <f t="shared" si="24"/>
        <v>0.29085774040162543</v>
      </c>
      <c r="V119" s="5">
        <f t="shared" si="24"/>
        <v>0.28589539986767765</v>
      </c>
      <c r="W119" s="5">
        <f t="shared" si="24"/>
        <v>0.28562286611440413</v>
      </c>
      <c r="X119" s="5">
        <f t="shared" si="24"/>
        <v>0.2826532621759241</v>
      </c>
      <c r="Y119" s="5">
        <f t="shared" si="24"/>
        <v>0.27962037367080617</v>
      </c>
      <c r="Z119" s="5">
        <f t="shared" si="24"/>
        <v>0.274234900091826</v>
      </c>
      <c r="AA119" s="5">
        <f t="shared" si="24"/>
        <v>0.2758588167620939</v>
      </c>
      <c r="AB119" s="5">
        <f t="shared" si="24"/>
        <v>0.2535001909526718</v>
      </c>
      <c r="AC119" s="5">
        <f t="shared" si="24"/>
        <v>0.25744340291618073</v>
      </c>
      <c r="AD119" s="5">
        <f t="shared" si="24"/>
        <v>0.26420911972940936</v>
      </c>
      <c r="AE119" s="5">
        <f t="shared" si="24"/>
        <v>0.2652263942709131</v>
      </c>
      <c r="AF119" s="5">
        <f t="shared" si="24"/>
        <v>0.26231439708823984</v>
      </c>
      <c r="AG119" s="5">
        <f t="shared" si="24"/>
        <v>0.2625903752377708</v>
      </c>
      <c r="AH119" s="5">
        <f t="shared" si="24"/>
        <v>0.2464099820857711</v>
      </c>
      <c r="AI119" s="5">
        <f t="shared" si="24"/>
        <v>0.24596843788115702</v>
      </c>
    </row>
    <row r="120" spans="2:35" ht="12.75">
      <c r="B120" s="1" t="s">
        <v>31</v>
      </c>
      <c r="C120" s="5">
        <f t="shared" si="23"/>
        <v>0.023469778829425515</v>
      </c>
      <c r="D120" s="5">
        <f t="shared" si="24"/>
        <v>0.03305287437510611</v>
      </c>
      <c r="E120" s="5">
        <f t="shared" si="24"/>
        <v>0.03841878274687209</v>
      </c>
      <c r="F120" s="5">
        <f t="shared" si="24"/>
        <v>0.03820215695917926</v>
      </c>
      <c r="G120" s="5">
        <f t="shared" si="24"/>
        <v>0.04076433755384922</v>
      </c>
      <c r="H120" s="5">
        <f t="shared" si="24"/>
        <v>0.03899746375158837</v>
      </c>
      <c r="I120" s="5">
        <f t="shared" si="24"/>
        <v>0.03707375783429089</v>
      </c>
      <c r="J120" s="5">
        <f t="shared" si="24"/>
        <v>0.03591183540920763</v>
      </c>
      <c r="K120" s="5">
        <f t="shared" si="24"/>
        <v>0.036767946929377064</v>
      </c>
      <c r="L120" s="5">
        <f t="shared" si="24"/>
        <v>0.04075829920413815</v>
      </c>
      <c r="M120" s="5">
        <f t="shared" si="24"/>
        <v>0.04102182553160871</v>
      </c>
      <c r="N120" s="5">
        <f t="shared" si="24"/>
        <v>0.0428756118852908</v>
      </c>
      <c r="O120" s="5">
        <f t="shared" si="24"/>
        <v>0.04601850830496006</v>
      </c>
      <c r="P120" s="5">
        <f t="shared" si="24"/>
        <v>0.0501182458109495</v>
      </c>
      <c r="Q120" s="5">
        <f t="shared" si="24"/>
        <v>0.04981212279057446</v>
      </c>
      <c r="R120" s="5">
        <f t="shared" si="24"/>
        <v>0.050383709279309734</v>
      </c>
      <c r="S120" s="5">
        <f t="shared" si="24"/>
        <v>0.051557847277213846</v>
      </c>
      <c r="T120" s="5">
        <f t="shared" si="24"/>
        <v>0.05183462838214969</v>
      </c>
      <c r="U120" s="5">
        <f t="shared" si="24"/>
        <v>0.05415890532604294</v>
      </c>
      <c r="V120" s="5">
        <f t="shared" si="24"/>
        <v>0.055614534563591465</v>
      </c>
      <c r="W120" s="5">
        <f t="shared" si="24"/>
        <v>0.057478078218702267</v>
      </c>
      <c r="X120" s="5">
        <f t="shared" si="24"/>
        <v>0.06298145108110915</v>
      </c>
      <c r="Y120" s="5">
        <f t="shared" si="24"/>
        <v>0.06911316585376302</v>
      </c>
      <c r="Z120" s="5">
        <f t="shared" si="24"/>
        <v>0.07320356460684464</v>
      </c>
      <c r="AA120" s="5">
        <f t="shared" si="24"/>
        <v>0.07566712883756928</v>
      </c>
      <c r="AB120" s="5">
        <f t="shared" si="24"/>
        <v>0.08646162540658808</v>
      </c>
      <c r="AC120" s="5">
        <f t="shared" si="24"/>
        <v>0.08727767187719854</v>
      </c>
      <c r="AD120" s="5">
        <f t="shared" si="24"/>
        <v>0.09515427691376545</v>
      </c>
      <c r="AE120" s="5">
        <f t="shared" si="24"/>
        <v>0.09587368480815063</v>
      </c>
      <c r="AF120" s="5">
        <f t="shared" si="24"/>
        <v>0.1029982205706841</v>
      </c>
      <c r="AG120" s="5">
        <f t="shared" si="24"/>
        <v>0.1037912899285475</v>
      </c>
      <c r="AH120" s="5">
        <f t="shared" si="24"/>
        <v>0.1074937859244064</v>
      </c>
      <c r="AI120" s="5">
        <f t="shared" si="24"/>
        <v>0.11044215355641772</v>
      </c>
    </row>
    <row r="121" spans="2:35" ht="12.75">
      <c r="B121" s="1" t="s">
        <v>32</v>
      </c>
      <c r="C121" s="5">
        <f t="shared" si="23"/>
        <v>0</v>
      </c>
      <c r="D121" s="5">
        <f t="shared" si="24"/>
        <v>0</v>
      </c>
      <c r="E121" s="5">
        <f t="shared" si="24"/>
        <v>0</v>
      </c>
      <c r="F121" s="5">
        <f t="shared" si="24"/>
        <v>0</v>
      </c>
      <c r="G121" s="5">
        <f t="shared" si="24"/>
        <v>0</v>
      </c>
      <c r="H121" s="5">
        <f t="shared" si="24"/>
        <v>0</v>
      </c>
      <c r="I121" s="5">
        <f t="shared" si="24"/>
        <v>0</v>
      </c>
      <c r="J121" s="5">
        <f t="shared" si="24"/>
        <v>0</v>
      </c>
      <c r="K121" s="5">
        <f t="shared" si="24"/>
        <v>0.0032065379640196837</v>
      </c>
      <c r="L121" s="5">
        <f t="shared" si="24"/>
        <v>0.009219139867224124</v>
      </c>
      <c r="M121" s="5">
        <f t="shared" si="24"/>
        <v>0.017519398205758856</v>
      </c>
      <c r="N121" s="5">
        <f t="shared" si="24"/>
        <v>0.022892754415197364</v>
      </c>
      <c r="O121" s="5">
        <f t="shared" si="24"/>
        <v>0.02923667819250211</v>
      </c>
      <c r="P121" s="5">
        <f t="shared" si="24"/>
        <v>0.03362727699180626</v>
      </c>
      <c r="Q121" s="5">
        <f t="shared" si="24"/>
        <v>0.03666955107564327</v>
      </c>
      <c r="R121" s="5">
        <f t="shared" si="24"/>
        <v>0.03763689588702493</v>
      </c>
      <c r="S121" s="5">
        <f t="shared" si="24"/>
        <v>0.04336871967869674</v>
      </c>
      <c r="T121" s="5">
        <f t="shared" si="24"/>
        <v>0.04701273562615775</v>
      </c>
      <c r="U121" s="5">
        <f t="shared" si="24"/>
        <v>0.046617980793674095</v>
      </c>
      <c r="V121" s="5">
        <f t="shared" si="24"/>
        <v>0.05117796209483229</v>
      </c>
      <c r="W121" s="5">
        <f t="shared" si="24"/>
        <v>0.05459482751780106</v>
      </c>
      <c r="X121" s="5">
        <f t="shared" si="24"/>
        <v>0.05847972393383679</v>
      </c>
      <c r="Y121" s="5">
        <f t="shared" si="24"/>
        <v>0.057751482872699274</v>
      </c>
      <c r="Z121" s="5">
        <f t="shared" si="24"/>
        <v>0.058391898709974244</v>
      </c>
      <c r="AA121" s="5">
        <f t="shared" si="24"/>
        <v>0.05734683989736097</v>
      </c>
      <c r="AB121" s="5">
        <f t="shared" si="24"/>
        <v>0.06216436578844531</v>
      </c>
      <c r="AC121" s="5">
        <f t="shared" si="24"/>
        <v>0.0629995744015476</v>
      </c>
      <c r="AD121" s="5">
        <f t="shared" si="24"/>
        <v>0.06420537615695282</v>
      </c>
      <c r="AE121" s="5">
        <f t="shared" si="24"/>
        <v>0.06330027521549941</v>
      </c>
      <c r="AF121" s="5">
        <f t="shared" si="24"/>
        <v>0.06648918512285477</v>
      </c>
      <c r="AG121" s="5">
        <f t="shared" si="24"/>
        <v>0.06636093191276601</v>
      </c>
      <c r="AH121" s="5">
        <f t="shared" si="24"/>
        <v>0.06455613995614752</v>
      </c>
      <c r="AI121" s="5">
        <f t="shared" si="24"/>
        <v>0.06554664979531932</v>
      </c>
    </row>
    <row r="122" spans="2:35" ht="12.75">
      <c r="B122" s="1" t="s">
        <v>33</v>
      </c>
      <c r="C122" s="5">
        <f t="shared" si="23"/>
        <v>0</v>
      </c>
      <c r="D122" s="5">
        <f t="shared" si="24"/>
        <v>0</v>
      </c>
      <c r="E122" s="5">
        <f t="shared" si="24"/>
        <v>0</v>
      </c>
      <c r="F122" s="5">
        <f t="shared" si="24"/>
        <v>0</v>
      </c>
      <c r="G122" s="5">
        <f t="shared" si="24"/>
        <v>0</v>
      </c>
      <c r="H122" s="5">
        <f t="shared" si="24"/>
        <v>0</v>
      </c>
      <c r="I122" s="5">
        <f t="shared" si="24"/>
        <v>0</v>
      </c>
      <c r="J122" s="5">
        <f t="shared" si="24"/>
        <v>0</v>
      </c>
      <c r="K122" s="5">
        <f t="shared" si="24"/>
        <v>0</v>
      </c>
      <c r="L122" s="5">
        <f t="shared" si="24"/>
        <v>0</v>
      </c>
      <c r="M122" s="5">
        <f t="shared" si="24"/>
        <v>0</v>
      </c>
      <c r="N122" s="5">
        <f t="shared" si="24"/>
        <v>0</v>
      </c>
      <c r="O122" s="5">
        <f t="shared" si="24"/>
        <v>0</v>
      </c>
      <c r="P122" s="5">
        <f t="shared" si="24"/>
        <v>0</v>
      </c>
      <c r="Q122" s="5">
        <f t="shared" si="24"/>
        <v>0</v>
      </c>
      <c r="R122" s="5">
        <f t="shared" si="24"/>
        <v>0</v>
      </c>
      <c r="S122" s="5">
        <f t="shared" si="24"/>
        <v>0</v>
      </c>
      <c r="T122" s="5">
        <f t="shared" si="24"/>
        <v>0</v>
      </c>
      <c r="U122" s="5">
        <f t="shared" si="24"/>
        <v>0</v>
      </c>
      <c r="V122" s="5">
        <f t="shared" si="24"/>
        <v>0</v>
      </c>
      <c r="W122" s="5">
        <f t="shared" si="24"/>
        <v>0.0014015884568485775</v>
      </c>
      <c r="X122" s="5">
        <f t="shared" si="24"/>
        <v>0.009307117365062857</v>
      </c>
      <c r="Y122" s="5">
        <f t="shared" si="24"/>
        <v>0.01977558010846074</v>
      </c>
      <c r="Z122" s="5">
        <f t="shared" si="24"/>
        <v>0.02394214066550459</v>
      </c>
      <c r="AA122" s="5">
        <f t="shared" si="24"/>
        <v>0.036172263755754365</v>
      </c>
      <c r="AB122" s="5">
        <f t="shared" si="24"/>
        <v>0.038687903399141466</v>
      </c>
      <c r="AC122" s="5">
        <f t="shared" si="24"/>
        <v>0.043225221765650655</v>
      </c>
      <c r="AD122" s="5">
        <f t="shared" si="24"/>
        <v>0.04631185654384593</v>
      </c>
      <c r="AE122" s="5">
        <f t="shared" si="24"/>
        <v>0.05246882742012714</v>
      </c>
      <c r="AF122" s="5">
        <f t="shared" si="24"/>
        <v>0.05302969593451757</v>
      </c>
      <c r="AG122" s="5">
        <f t="shared" si="24"/>
        <v>0.05469585070328559</v>
      </c>
      <c r="AH122" s="5">
        <f t="shared" si="24"/>
        <v>0.06044958025141918</v>
      </c>
      <c r="AI122" s="5">
        <f aca="true" t="shared" si="25" ref="D122:AI123">AI104/AI$108</f>
        <v>0.06340790695819865</v>
      </c>
    </row>
    <row r="123" spans="2:35" ht="12.75">
      <c r="B123" s="1" t="s">
        <v>34</v>
      </c>
      <c r="C123" s="5">
        <f t="shared" si="23"/>
        <v>0.0015830697142766696</v>
      </c>
      <c r="D123" s="5">
        <f t="shared" si="25"/>
        <v>0.0011325617585477435</v>
      </c>
      <c r="E123" s="5">
        <f t="shared" si="25"/>
        <v>0.0013141506179271739</v>
      </c>
      <c r="F123" s="5">
        <f t="shared" si="25"/>
        <v>0.0011365931896036305</v>
      </c>
      <c r="G123" s="5">
        <f t="shared" si="25"/>
        <v>0.0010907384179536892</v>
      </c>
      <c r="H123" s="5">
        <f t="shared" si="25"/>
        <v>0.0011717550135107709</v>
      </c>
      <c r="I123" s="5">
        <f t="shared" si="25"/>
        <v>0.0010807278853899667</v>
      </c>
      <c r="J123" s="5">
        <f t="shared" si="25"/>
        <v>0.00115921016497152</v>
      </c>
      <c r="K123" s="5">
        <f t="shared" si="25"/>
        <v>0.0011065390681599028</v>
      </c>
      <c r="L123" s="5">
        <f t="shared" si="25"/>
        <v>0.001071542827306401</v>
      </c>
      <c r="M123" s="5">
        <f t="shared" si="25"/>
        <v>0.0012667640889117524</v>
      </c>
      <c r="N123" s="5">
        <f t="shared" si="25"/>
        <v>0.0010942259144874774</v>
      </c>
      <c r="O123" s="5">
        <f t="shared" si="25"/>
        <v>0.0011377083594574738</v>
      </c>
      <c r="P123" s="5">
        <f t="shared" si="25"/>
        <v>0.001098843753434745</v>
      </c>
      <c r="Q123" s="5">
        <f t="shared" si="25"/>
        <v>0.0012355896045423633</v>
      </c>
      <c r="R123" s="5">
        <f t="shared" si="25"/>
        <v>0.001351168025714841</v>
      </c>
      <c r="S123" s="5">
        <f t="shared" si="25"/>
        <v>0.0011280925744408517</v>
      </c>
      <c r="T123" s="5">
        <f t="shared" si="25"/>
        <v>0.0013739548183510466</v>
      </c>
      <c r="U123" s="5">
        <f t="shared" si="25"/>
        <v>0.001108333852785975</v>
      </c>
      <c r="V123" s="5">
        <f t="shared" si="25"/>
        <v>0.0012362955650784186</v>
      </c>
      <c r="W123" s="5">
        <f t="shared" si="25"/>
        <v>0.0014442957819553336</v>
      </c>
      <c r="X123" s="5">
        <f t="shared" si="25"/>
        <v>0.0010931497563372154</v>
      </c>
      <c r="Y123" s="5">
        <f t="shared" si="25"/>
        <v>0.001121014262535475</v>
      </c>
      <c r="Z123" s="5">
        <f t="shared" si="25"/>
        <v>0.0011681838359796815</v>
      </c>
      <c r="AA123" s="5">
        <f t="shared" si="25"/>
        <v>0.0010405347119673014</v>
      </c>
      <c r="AB123" s="5">
        <f t="shared" si="25"/>
        <v>0.0013206854027497795</v>
      </c>
      <c r="AC123" s="5">
        <f t="shared" si="25"/>
        <v>0.0010898381850166221</v>
      </c>
      <c r="AD123" s="5">
        <f t="shared" si="25"/>
        <v>0.001333464673605342</v>
      </c>
      <c r="AE123" s="5">
        <f t="shared" si="25"/>
        <v>0.0012180867463989788</v>
      </c>
      <c r="AF123" s="5">
        <f t="shared" si="25"/>
        <v>0.0014329099860400942</v>
      </c>
      <c r="AG123" s="5">
        <f t="shared" si="25"/>
        <v>0.0014427577712466796</v>
      </c>
      <c r="AH123" s="5">
        <f t="shared" si="25"/>
        <v>0.0012820733572918163</v>
      </c>
      <c r="AI123" s="5">
        <f t="shared" si="25"/>
        <v>0.0013857501448362773</v>
      </c>
    </row>
    <row r="124" spans="2:35" ht="12.75">
      <c r="B124" s="1" t="s">
        <v>35</v>
      </c>
      <c r="C124" s="5">
        <f>C106/C$108</f>
        <v>0.10424533321729663</v>
      </c>
      <c r="D124" s="5">
        <f aca="true" t="shared" si="26" ref="D124:AI124">D106/D$108</f>
        <v>0.10264075984324472</v>
      </c>
      <c r="E124" s="5">
        <f t="shared" si="26"/>
        <v>0.10426855144381467</v>
      </c>
      <c r="F124" s="5">
        <f t="shared" si="26"/>
        <v>0.09968401580716822</v>
      </c>
      <c r="G124" s="5">
        <f t="shared" si="26"/>
        <v>0.10037580464783602</v>
      </c>
      <c r="H124" s="5">
        <f t="shared" si="26"/>
        <v>0.09977705653700839</v>
      </c>
      <c r="I124" s="5">
        <f t="shared" si="26"/>
        <v>0.10192536073749109</v>
      </c>
      <c r="J124" s="5">
        <f t="shared" si="26"/>
        <v>0.10110802228386988</v>
      </c>
      <c r="K124" s="5">
        <f t="shared" si="26"/>
        <v>0.09912069645938154</v>
      </c>
      <c r="L124" s="5">
        <f t="shared" si="26"/>
        <v>0.10088073749129947</v>
      </c>
      <c r="M124" s="5">
        <f t="shared" si="26"/>
        <v>0.09662520139503052</v>
      </c>
      <c r="N124" s="5">
        <f t="shared" si="26"/>
        <v>0.0968356501389768</v>
      </c>
      <c r="O124" s="5">
        <f t="shared" si="26"/>
        <v>0.09484537436040927</v>
      </c>
      <c r="P124" s="5">
        <f t="shared" si="26"/>
        <v>0.09495672901324367</v>
      </c>
      <c r="Q124" s="5">
        <f t="shared" si="26"/>
        <v>0.09551183009177901</v>
      </c>
      <c r="R124" s="5">
        <f t="shared" si="26"/>
        <v>0.09442955042981335</v>
      </c>
      <c r="S124" s="5">
        <f t="shared" si="26"/>
        <v>0.09465817104325974</v>
      </c>
      <c r="T124" s="5">
        <f t="shared" si="26"/>
        <v>0.09485263298940547</v>
      </c>
      <c r="U124" s="5">
        <f t="shared" si="26"/>
        <v>0.0946765205325041</v>
      </c>
      <c r="V124" s="5">
        <f t="shared" si="26"/>
        <v>0.09399959355262223</v>
      </c>
      <c r="W124" s="5">
        <f t="shared" si="26"/>
        <v>0.091867440624798</v>
      </c>
      <c r="X124" s="5">
        <f t="shared" si="26"/>
        <v>0.08951132127348745</v>
      </c>
      <c r="Y124" s="5">
        <f t="shared" si="26"/>
        <v>0.08868897110340584</v>
      </c>
      <c r="Z124" s="5">
        <f t="shared" si="26"/>
        <v>0.08448851571675459</v>
      </c>
      <c r="AA124" s="5">
        <f t="shared" si="26"/>
        <v>0.0796332830786123</v>
      </c>
      <c r="AB124" s="5">
        <f t="shared" si="26"/>
        <v>0.07940207539114347</v>
      </c>
      <c r="AC124" s="5">
        <f t="shared" si="26"/>
        <v>0.07664506266357889</v>
      </c>
      <c r="AD124" s="5">
        <f t="shared" si="26"/>
        <v>0.07709859222297837</v>
      </c>
      <c r="AE124" s="5">
        <f t="shared" si="26"/>
        <v>0.07661201836161136</v>
      </c>
      <c r="AF124" s="5">
        <f t="shared" si="26"/>
        <v>0.07418467856765207</v>
      </c>
      <c r="AG124" s="5">
        <f t="shared" si="26"/>
        <v>0.07329577172640617</v>
      </c>
      <c r="AH124" s="5">
        <f t="shared" si="26"/>
        <v>0.07348881796852508</v>
      </c>
      <c r="AI124" s="5">
        <f t="shared" si="26"/>
        <v>0.07201109685943251</v>
      </c>
    </row>
    <row r="125" spans="2:35" ht="13.5" thickBot="1">
      <c r="B125" s="88" t="s">
        <v>108</v>
      </c>
      <c r="C125" s="89">
        <f>C107/C$108</f>
        <v>0</v>
      </c>
      <c r="D125" s="89">
        <f aca="true" t="shared" si="27" ref="D125:AI125">D107/D$108</f>
        <v>0</v>
      </c>
      <c r="E125" s="89">
        <f t="shared" si="27"/>
        <v>0</v>
      </c>
      <c r="F125" s="89">
        <f t="shared" si="27"/>
        <v>0</v>
      </c>
      <c r="G125" s="89">
        <f t="shared" si="27"/>
        <v>0</v>
      </c>
      <c r="H125" s="89">
        <f t="shared" si="27"/>
        <v>0</v>
      </c>
      <c r="I125" s="89">
        <f t="shared" si="27"/>
        <v>0</v>
      </c>
      <c r="J125" s="89">
        <f t="shared" si="27"/>
        <v>0</v>
      </c>
      <c r="K125" s="89">
        <f t="shared" si="27"/>
        <v>0</v>
      </c>
      <c r="L125" s="89">
        <f t="shared" si="27"/>
        <v>0</v>
      </c>
      <c r="M125" s="89">
        <f t="shared" si="27"/>
        <v>0</v>
      </c>
      <c r="N125" s="89">
        <f t="shared" si="27"/>
        <v>0</v>
      </c>
      <c r="O125" s="89">
        <f t="shared" si="27"/>
        <v>0</v>
      </c>
      <c r="P125" s="89">
        <f t="shared" si="27"/>
        <v>0</v>
      </c>
      <c r="Q125" s="89">
        <f t="shared" si="27"/>
        <v>0</v>
      </c>
      <c r="R125" s="89">
        <f t="shared" si="27"/>
        <v>0</v>
      </c>
      <c r="S125" s="89">
        <f t="shared" si="27"/>
        <v>0</v>
      </c>
      <c r="T125" s="89">
        <f t="shared" si="27"/>
        <v>0</v>
      </c>
      <c r="U125" s="89">
        <f t="shared" si="27"/>
        <v>0</v>
      </c>
      <c r="V125" s="89">
        <f t="shared" si="27"/>
        <v>0</v>
      </c>
      <c r="W125" s="89">
        <f t="shared" si="27"/>
        <v>0</v>
      </c>
      <c r="X125" s="89">
        <f t="shared" si="27"/>
        <v>0</v>
      </c>
      <c r="Y125" s="89">
        <f t="shared" si="27"/>
        <v>0</v>
      </c>
      <c r="Z125" s="89">
        <f t="shared" si="27"/>
        <v>0</v>
      </c>
      <c r="AA125" s="89">
        <f t="shared" si="27"/>
        <v>0</v>
      </c>
      <c r="AB125" s="89">
        <f t="shared" si="27"/>
        <v>0</v>
      </c>
      <c r="AC125" s="89">
        <f t="shared" si="27"/>
        <v>0</v>
      </c>
      <c r="AD125" s="89">
        <f t="shared" si="27"/>
        <v>0</v>
      </c>
      <c r="AE125" s="89">
        <f t="shared" si="27"/>
        <v>0</v>
      </c>
      <c r="AF125" s="89">
        <f t="shared" si="27"/>
        <v>0</v>
      </c>
      <c r="AG125" s="89">
        <f t="shared" si="27"/>
        <v>0</v>
      </c>
      <c r="AH125" s="89">
        <f t="shared" si="27"/>
        <v>0</v>
      </c>
      <c r="AI125" s="89">
        <f t="shared" si="27"/>
        <v>0.00045724197272096817</v>
      </c>
    </row>
    <row r="126" spans="2:35" ht="13.5" thickTop="1">
      <c r="B126" s="3" t="s">
        <v>36</v>
      </c>
      <c r="C126" s="6">
        <f>C108/C$108</f>
        <v>1</v>
      </c>
      <c r="D126" s="6">
        <f aca="true" t="shared" si="28" ref="D126:AI126">D108/D$108</f>
        <v>1</v>
      </c>
      <c r="E126" s="6">
        <f t="shared" si="28"/>
        <v>1</v>
      </c>
      <c r="F126" s="6">
        <f t="shared" si="28"/>
        <v>1</v>
      </c>
      <c r="G126" s="6">
        <f t="shared" si="28"/>
        <v>1</v>
      </c>
      <c r="H126" s="6">
        <f t="shared" si="28"/>
        <v>1</v>
      </c>
      <c r="I126" s="6">
        <f t="shared" si="28"/>
        <v>1</v>
      </c>
      <c r="J126" s="6">
        <f t="shared" si="28"/>
        <v>1</v>
      </c>
      <c r="K126" s="6">
        <f t="shared" si="28"/>
        <v>1</v>
      </c>
      <c r="L126" s="6">
        <f t="shared" si="28"/>
        <v>1</v>
      </c>
      <c r="M126" s="6">
        <f t="shared" si="28"/>
        <v>1</v>
      </c>
      <c r="N126" s="6">
        <f t="shared" si="28"/>
        <v>1</v>
      </c>
      <c r="O126" s="6">
        <f t="shared" si="28"/>
        <v>1</v>
      </c>
      <c r="P126" s="6">
        <f t="shared" si="28"/>
        <v>1</v>
      </c>
      <c r="Q126" s="6">
        <f t="shared" si="28"/>
        <v>1</v>
      </c>
      <c r="R126" s="6">
        <f t="shared" si="28"/>
        <v>1</v>
      </c>
      <c r="S126" s="6">
        <f t="shared" si="28"/>
        <v>1</v>
      </c>
      <c r="T126" s="6">
        <f t="shared" si="28"/>
        <v>1</v>
      </c>
      <c r="U126" s="6">
        <f t="shared" si="28"/>
        <v>1</v>
      </c>
      <c r="V126" s="6">
        <f t="shared" si="28"/>
        <v>1</v>
      </c>
      <c r="W126" s="6">
        <f t="shared" si="28"/>
        <v>1</v>
      </c>
      <c r="X126" s="6">
        <f t="shared" si="28"/>
        <v>1</v>
      </c>
      <c r="Y126" s="6">
        <f t="shared" si="28"/>
        <v>1</v>
      </c>
      <c r="Z126" s="6">
        <f t="shared" si="28"/>
        <v>1</v>
      </c>
      <c r="AA126" s="6">
        <f t="shared" si="28"/>
        <v>1</v>
      </c>
      <c r="AB126" s="6">
        <f t="shared" si="28"/>
        <v>1</v>
      </c>
      <c r="AC126" s="6">
        <f t="shared" si="28"/>
        <v>1</v>
      </c>
      <c r="AD126" s="6">
        <f t="shared" si="28"/>
        <v>1</v>
      </c>
      <c r="AE126" s="6">
        <f t="shared" si="28"/>
        <v>1</v>
      </c>
      <c r="AF126" s="6">
        <f t="shared" si="28"/>
        <v>1</v>
      </c>
      <c r="AG126" s="6">
        <f t="shared" si="28"/>
        <v>1</v>
      </c>
      <c r="AH126" s="6">
        <f t="shared" si="28"/>
        <v>1</v>
      </c>
      <c r="AI126" s="6">
        <f t="shared" si="28"/>
        <v>1</v>
      </c>
    </row>
    <row r="127" spans="2:35" ht="12.75">
      <c r="B127" s="62" t="s">
        <v>37</v>
      </c>
      <c r="C127" s="63">
        <f>C109/C$108</f>
        <v>0.5057375587129163</v>
      </c>
      <c r="D127" s="63">
        <f aca="true" t="shared" si="29" ref="D127:AI127">D109/D$108</f>
        <v>0.5058012778781129</v>
      </c>
      <c r="E127" s="63">
        <f t="shared" si="29"/>
        <v>0.505863030282031</v>
      </c>
      <c r="F127" s="63">
        <f t="shared" si="29"/>
        <v>0.5065766609114597</v>
      </c>
      <c r="G127" s="63">
        <f t="shared" si="29"/>
        <v>0.5014725680492309</v>
      </c>
      <c r="H127" s="63">
        <f t="shared" si="29"/>
        <v>0.5046534089526906</v>
      </c>
      <c r="I127" s="63">
        <f t="shared" si="29"/>
        <v>0.5004981578115071</v>
      </c>
      <c r="J127" s="63">
        <f t="shared" si="29"/>
        <v>0.5005677993677528</v>
      </c>
      <c r="K127" s="63">
        <f t="shared" si="29"/>
        <v>0.5002987936770373</v>
      </c>
      <c r="L127" s="63">
        <f t="shared" si="29"/>
        <v>0.4867465595170202</v>
      </c>
      <c r="M127" s="63">
        <f t="shared" si="29"/>
        <v>0.4869731326493118</v>
      </c>
      <c r="N127" s="63">
        <f t="shared" si="29"/>
        <v>0.48477177838172947</v>
      </c>
      <c r="O127" s="63">
        <f t="shared" si="29"/>
        <v>0.4745558504377457</v>
      </c>
      <c r="P127" s="63">
        <f t="shared" si="29"/>
        <v>0.46501659968425996</v>
      </c>
      <c r="Q127" s="63">
        <f t="shared" si="29"/>
        <v>0.4618365640985649</v>
      </c>
      <c r="R127" s="63">
        <f t="shared" si="29"/>
        <v>0.4639264129801779</v>
      </c>
      <c r="S127" s="63">
        <f t="shared" si="29"/>
        <v>0.4585307395031159</v>
      </c>
      <c r="T127" s="63">
        <f t="shared" si="29"/>
        <v>0.45714787484596364</v>
      </c>
      <c r="U127" s="63">
        <f t="shared" si="29"/>
        <v>0.4555768336463699</v>
      </c>
      <c r="V127" s="63">
        <f t="shared" si="29"/>
        <v>0.4566694803882739</v>
      </c>
      <c r="W127" s="63">
        <f t="shared" si="29"/>
        <v>0.4497471766350715</v>
      </c>
      <c r="X127" s="63">
        <f t="shared" si="29"/>
        <v>0.4402468313699189</v>
      </c>
      <c r="Y127" s="63">
        <f t="shared" si="29"/>
        <v>0.43057884557899717</v>
      </c>
      <c r="Z127" s="63">
        <f t="shared" si="29"/>
        <v>0.4315778157098828</v>
      </c>
      <c r="AA127" s="63">
        <f t="shared" si="29"/>
        <v>0.4219236855371159</v>
      </c>
      <c r="AB127" s="63">
        <f t="shared" si="29"/>
        <v>0.42613225281707356</v>
      </c>
      <c r="AC127" s="63">
        <f t="shared" si="29"/>
        <v>0.4188448258302516</v>
      </c>
      <c r="AD127" s="63">
        <f t="shared" si="29"/>
        <v>0.3991007691795548</v>
      </c>
      <c r="AE127" s="63">
        <f t="shared" si="29"/>
        <v>0.3927538257314567</v>
      </c>
      <c r="AF127" s="63">
        <f t="shared" si="29"/>
        <v>0.3867032882923749</v>
      </c>
      <c r="AG127" s="63">
        <f t="shared" si="29"/>
        <v>0.38459029690950697</v>
      </c>
      <c r="AH127" s="63">
        <f t="shared" si="29"/>
        <v>0.39083950524459293</v>
      </c>
      <c r="AI127" s="63">
        <f t="shared" si="29"/>
        <v>0.38847719941631864</v>
      </c>
    </row>
    <row r="128" spans="2:35" ht="13.5" thickBot="1">
      <c r="B128" s="59" t="s">
        <v>68</v>
      </c>
      <c r="C128" s="61">
        <f>C110/C108</f>
        <v>0.8941715970684266</v>
      </c>
      <c r="D128" s="61">
        <f aca="true" t="shared" si="30" ref="D128:AI128">D110/D108</f>
        <v>0.8962266783982076</v>
      </c>
      <c r="E128" s="61">
        <f t="shared" si="30"/>
        <v>0.8944172979382583</v>
      </c>
      <c r="F128" s="61">
        <f t="shared" si="30"/>
        <v>0.8991793910032281</v>
      </c>
      <c r="G128" s="61">
        <f t="shared" si="30"/>
        <v>0.8985334569342103</v>
      </c>
      <c r="H128" s="61">
        <f t="shared" si="30"/>
        <v>0.8990511884494807</v>
      </c>
      <c r="I128" s="61">
        <f t="shared" si="30"/>
        <v>0.8969939113771189</v>
      </c>
      <c r="J128" s="61">
        <f t="shared" si="30"/>
        <v>0.8977327675511586</v>
      </c>
      <c r="K128" s="61">
        <f t="shared" si="30"/>
        <v>0.8965662265084389</v>
      </c>
      <c r="L128" s="61">
        <f t="shared" si="30"/>
        <v>0.88882857981417</v>
      </c>
      <c r="M128" s="61">
        <f t="shared" si="30"/>
        <v>0.8845886363102989</v>
      </c>
      <c r="N128" s="61">
        <f t="shared" si="30"/>
        <v>0.8791773695313383</v>
      </c>
      <c r="O128" s="61">
        <f t="shared" si="30"/>
        <v>0.8747802390876313</v>
      </c>
      <c r="P128" s="61">
        <f t="shared" si="30"/>
        <v>0.8703171502415152</v>
      </c>
      <c r="Q128" s="61">
        <f t="shared" si="30"/>
        <v>0.8665830292280352</v>
      </c>
      <c r="R128" s="61">
        <f t="shared" si="30"/>
        <v>0.8665823856574469</v>
      </c>
      <c r="S128" s="61">
        <f t="shared" si="30"/>
        <v>0.8608450167036028</v>
      </c>
      <c r="T128" s="61">
        <f t="shared" si="30"/>
        <v>0.8567606765660858</v>
      </c>
      <c r="U128" s="61">
        <f t="shared" si="30"/>
        <v>0.857597164821036</v>
      </c>
      <c r="V128" s="61">
        <f t="shared" si="30"/>
        <v>0.8535861487874671</v>
      </c>
      <c r="W128" s="61">
        <f t="shared" si="30"/>
        <v>0.850691847618597</v>
      </c>
      <c r="X128" s="61">
        <f t="shared" si="30"/>
        <v>0.8416086876712757</v>
      </c>
      <c r="Y128" s="61">
        <f t="shared" si="30"/>
        <v>0.8326629516528986</v>
      </c>
      <c r="Z128" s="61">
        <f t="shared" si="30"/>
        <v>0.8320092610717866</v>
      </c>
      <c r="AA128" s="61">
        <f t="shared" si="30"/>
        <v>0.825807078556305</v>
      </c>
      <c r="AB128" s="61">
        <f t="shared" si="30"/>
        <v>0.8173259199123314</v>
      </c>
      <c r="AC128" s="61">
        <f t="shared" si="30"/>
        <v>0.814171475145545</v>
      </c>
      <c r="AD128" s="61">
        <f t="shared" si="30"/>
        <v>0.8083234840307668</v>
      </c>
      <c r="AE128" s="61">
        <f t="shared" si="30"/>
        <v>0.8025618822743901</v>
      </c>
      <c r="AF128" s="61">
        <f t="shared" si="30"/>
        <v>0.7979424920606346</v>
      </c>
      <c r="AG128" s="61">
        <f t="shared" si="30"/>
        <v>0.7955541117161901</v>
      </c>
      <c r="AH128" s="61">
        <f t="shared" si="30"/>
        <v>0.7887834354316212</v>
      </c>
      <c r="AI128" s="61">
        <f t="shared" si="30"/>
        <v>0.7853471525382497</v>
      </c>
    </row>
    <row r="129" ht="13.5" thickTop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8"/>
  <sheetViews>
    <sheetView workbookViewId="0" topLeftCell="A1">
      <selection activeCell="C5" sqref="C5"/>
    </sheetView>
  </sheetViews>
  <sheetFormatPr defaultColWidth="11.421875" defaultRowHeight="12.75"/>
  <cols>
    <col min="2" max="2" width="26.8515625" style="0" bestFit="1" customWidth="1"/>
    <col min="3" max="18" width="11.7109375" style="0" bestFit="1" customWidth="1"/>
  </cols>
  <sheetData>
    <row r="1" ht="18">
      <c r="B1" s="21" t="s">
        <v>121</v>
      </c>
    </row>
    <row r="3" spans="1:24" s="70" customFormat="1" ht="39" thickBot="1">
      <c r="A3" s="72" t="s">
        <v>110</v>
      </c>
      <c r="B3" s="77" t="s">
        <v>0</v>
      </c>
      <c r="C3" s="77" t="s">
        <v>38</v>
      </c>
      <c r="D3" s="77" t="s">
        <v>39</v>
      </c>
      <c r="E3" s="77" t="s">
        <v>40</v>
      </c>
      <c r="F3" s="77" t="s">
        <v>41</v>
      </c>
      <c r="G3" s="77" t="s">
        <v>42</v>
      </c>
      <c r="H3" s="77" t="s">
        <v>43</v>
      </c>
      <c r="I3" s="77" t="s">
        <v>44</v>
      </c>
      <c r="J3" s="77" t="s">
        <v>45</v>
      </c>
      <c r="K3" s="77" t="s">
        <v>46</v>
      </c>
      <c r="L3" s="77" t="s">
        <v>47</v>
      </c>
      <c r="M3" s="77" t="s">
        <v>48</v>
      </c>
      <c r="N3" s="77" t="s">
        <v>49</v>
      </c>
      <c r="O3" s="77" t="s">
        <v>50</v>
      </c>
      <c r="P3" s="77" t="s">
        <v>51</v>
      </c>
      <c r="Q3" s="77" t="s">
        <v>52</v>
      </c>
      <c r="R3" s="77" t="s">
        <v>69</v>
      </c>
      <c r="S3" s="77" t="s">
        <v>70</v>
      </c>
      <c r="T3" s="77" t="s">
        <v>75</v>
      </c>
      <c r="U3" s="77" t="s">
        <v>76</v>
      </c>
      <c r="V3" s="77" t="s">
        <v>105</v>
      </c>
      <c r="W3" s="77" t="s">
        <v>106</v>
      </c>
      <c r="X3" s="77" t="s">
        <v>109</v>
      </c>
    </row>
    <row r="4" spans="1:24" ht="26.25" thickTop="1">
      <c r="A4" s="96">
        <v>1</v>
      </c>
      <c r="B4" s="78" t="s">
        <v>77</v>
      </c>
      <c r="C4" s="97">
        <v>0</v>
      </c>
      <c r="D4" s="97">
        <v>0</v>
      </c>
      <c r="E4" s="97">
        <v>0</v>
      </c>
      <c r="F4" s="97">
        <v>0</v>
      </c>
      <c r="G4" s="97">
        <v>0</v>
      </c>
      <c r="H4" s="97">
        <v>0</v>
      </c>
      <c r="I4" s="97">
        <v>0</v>
      </c>
      <c r="J4" s="97">
        <v>0</v>
      </c>
      <c r="K4" s="97">
        <v>13.662</v>
      </c>
      <c r="L4" s="97">
        <v>43.884</v>
      </c>
      <c r="M4" s="97">
        <v>51.336</v>
      </c>
      <c r="N4" s="97">
        <v>100.188</v>
      </c>
      <c r="O4" s="97">
        <v>149.868</v>
      </c>
      <c r="P4" s="97">
        <v>199.548</v>
      </c>
      <c r="Q4" s="97">
        <v>254.61</v>
      </c>
      <c r="R4" s="97">
        <v>309.672</v>
      </c>
      <c r="S4" s="97">
        <v>375.498</v>
      </c>
      <c r="T4" s="97">
        <v>441.324</v>
      </c>
      <c r="U4" s="97">
        <v>507.15</v>
      </c>
      <c r="V4" s="97">
        <v>569.664</v>
      </c>
      <c r="W4" s="97">
        <v>596.988</v>
      </c>
      <c r="X4" s="97">
        <v>670.68</v>
      </c>
    </row>
    <row r="5" spans="1:24" ht="25.5">
      <c r="A5" s="96">
        <v>2</v>
      </c>
      <c r="B5" s="78" t="s">
        <v>78</v>
      </c>
      <c r="C5" s="97">
        <v>139085.928</v>
      </c>
      <c r="D5" s="97">
        <v>139686.315</v>
      </c>
      <c r="E5" s="97">
        <v>136802.5955</v>
      </c>
      <c r="F5" s="97">
        <v>135030.7225</v>
      </c>
      <c r="G5" s="97">
        <v>133578.0225</v>
      </c>
      <c r="H5" s="97">
        <v>132141.178</v>
      </c>
      <c r="I5" s="97">
        <v>130222.673</v>
      </c>
      <c r="J5" s="97">
        <v>129113.5145</v>
      </c>
      <c r="K5" s="97">
        <v>127908.27</v>
      </c>
      <c r="L5" s="97">
        <v>127029.62</v>
      </c>
      <c r="M5" s="97">
        <v>126190.6735</v>
      </c>
      <c r="N5" s="97">
        <v>124835.537</v>
      </c>
      <c r="O5" s="97">
        <v>122580.9975</v>
      </c>
      <c r="P5" s="97">
        <v>121864.392</v>
      </c>
      <c r="Q5" s="97">
        <v>121739.6005</v>
      </c>
      <c r="R5" s="97">
        <v>121740.6775</v>
      </c>
      <c r="S5" s="97">
        <v>120955.756</v>
      </c>
      <c r="T5" s="97">
        <v>120309.3185</v>
      </c>
      <c r="U5" s="97">
        <v>120990.75</v>
      </c>
      <c r="V5" s="97">
        <v>119645.0735</v>
      </c>
      <c r="W5" s="97">
        <v>118354.4175</v>
      </c>
      <c r="X5" s="97">
        <v>118547.6235</v>
      </c>
    </row>
    <row r="6" spans="1:24" ht="25.5">
      <c r="A6" s="96">
        <v>3</v>
      </c>
      <c r="B6" s="78" t="s">
        <v>79</v>
      </c>
      <c r="C6" s="97">
        <v>34949.53</v>
      </c>
      <c r="D6" s="97">
        <v>36526.305</v>
      </c>
      <c r="E6" s="97">
        <v>36845.0775</v>
      </c>
      <c r="F6" s="97">
        <v>37051.545</v>
      </c>
      <c r="G6" s="97">
        <v>37508.6825</v>
      </c>
      <c r="H6" s="97">
        <v>37415.9</v>
      </c>
      <c r="I6" s="97">
        <v>37885.6625</v>
      </c>
      <c r="J6" s="97">
        <v>38133.6875</v>
      </c>
      <c r="K6" s="97">
        <v>38291.4</v>
      </c>
      <c r="L6" s="97">
        <v>38393.9</v>
      </c>
      <c r="M6" s="97">
        <v>38207.9875</v>
      </c>
      <c r="N6" s="97">
        <v>37398.4625</v>
      </c>
      <c r="O6" s="97">
        <v>36920.2375</v>
      </c>
      <c r="P6" s="97">
        <v>36541.3</v>
      </c>
      <c r="Q6" s="97">
        <v>36416.65</v>
      </c>
      <c r="R6" s="97">
        <v>36177.8875</v>
      </c>
      <c r="S6" s="97">
        <v>36026.75</v>
      </c>
      <c r="T6" s="97">
        <v>35956.025</v>
      </c>
      <c r="U6" s="97">
        <v>35898.3</v>
      </c>
      <c r="V6" s="97">
        <v>35433.7625</v>
      </c>
      <c r="W6" s="97">
        <v>34955.85</v>
      </c>
      <c r="X6" s="97">
        <v>34891.4</v>
      </c>
    </row>
    <row r="7" spans="1:24" ht="25.5">
      <c r="A7" s="96">
        <v>4</v>
      </c>
      <c r="B7" s="78" t="s">
        <v>80</v>
      </c>
      <c r="C7" s="97">
        <v>0</v>
      </c>
      <c r="D7" s="97">
        <v>0</v>
      </c>
      <c r="E7" s="97">
        <v>0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0</v>
      </c>
      <c r="U7" s="97">
        <v>7.189</v>
      </c>
      <c r="V7" s="97">
        <v>7.189</v>
      </c>
      <c r="W7" s="97">
        <v>7.189</v>
      </c>
      <c r="X7" s="97">
        <v>14.739</v>
      </c>
    </row>
    <row r="8" spans="1:24" ht="25.5">
      <c r="A8" s="96">
        <v>5</v>
      </c>
      <c r="B8" s="78" t="s">
        <v>81</v>
      </c>
      <c r="C8" s="97">
        <v>221831.2725</v>
      </c>
      <c r="D8" s="97">
        <v>223795.221</v>
      </c>
      <c r="E8" s="97">
        <v>222729.663</v>
      </c>
      <c r="F8" s="97">
        <v>221369.6745</v>
      </c>
      <c r="G8" s="97">
        <v>219842.5185</v>
      </c>
      <c r="H8" s="97">
        <v>218787.7455</v>
      </c>
      <c r="I8" s="97">
        <v>217196.958</v>
      </c>
      <c r="J8" s="97">
        <v>215578.1295</v>
      </c>
      <c r="K8" s="97">
        <v>213932.3385</v>
      </c>
      <c r="L8" s="97">
        <v>211579.0515</v>
      </c>
      <c r="M8" s="97">
        <v>211098.0405</v>
      </c>
      <c r="N8" s="97">
        <v>208145.1075</v>
      </c>
      <c r="O8" s="97">
        <v>205200.8025</v>
      </c>
      <c r="P8" s="97">
        <v>203695.2165</v>
      </c>
      <c r="Q8" s="97">
        <v>200904.0585</v>
      </c>
      <c r="R8" s="97">
        <v>197950.1135</v>
      </c>
      <c r="S8" s="97">
        <v>194553.3805</v>
      </c>
      <c r="T8" s="97">
        <v>189578.555</v>
      </c>
      <c r="U8" s="97">
        <v>186657.3302</v>
      </c>
      <c r="V8" s="97">
        <v>182104.7214</v>
      </c>
      <c r="W8" s="97">
        <v>176081.6623</v>
      </c>
      <c r="X8" s="97">
        <v>172991.077</v>
      </c>
    </row>
    <row r="9" spans="1:24" ht="25.5">
      <c r="A9" s="96">
        <v>6</v>
      </c>
      <c r="B9" s="78" t="s">
        <v>82</v>
      </c>
      <c r="C9" s="97">
        <v>163886.052</v>
      </c>
      <c r="D9" s="97">
        <v>167868.5525</v>
      </c>
      <c r="E9" s="97">
        <v>169235.077</v>
      </c>
      <c r="F9" s="97">
        <v>168698.156</v>
      </c>
      <c r="G9" s="97">
        <v>171114.3005</v>
      </c>
      <c r="H9" s="97">
        <v>171806.646</v>
      </c>
      <c r="I9" s="97">
        <v>171404.9645</v>
      </c>
      <c r="J9" s="97">
        <v>170512.7875</v>
      </c>
      <c r="K9" s="97">
        <v>170046.514</v>
      </c>
      <c r="L9" s="97">
        <v>170034.403</v>
      </c>
      <c r="M9" s="97">
        <v>170845.84</v>
      </c>
      <c r="N9" s="97">
        <v>169519.6855</v>
      </c>
      <c r="O9" s="97">
        <v>166770.4885</v>
      </c>
      <c r="P9" s="97">
        <v>166639.286</v>
      </c>
      <c r="Q9" s="97">
        <v>164828.6915</v>
      </c>
      <c r="R9" s="97">
        <v>163952.818</v>
      </c>
      <c r="S9" s="97">
        <v>160276.077</v>
      </c>
      <c r="T9" s="97">
        <v>157019.8215</v>
      </c>
      <c r="U9" s="97">
        <v>154651.584</v>
      </c>
      <c r="V9" s="97">
        <v>150232.5205</v>
      </c>
      <c r="W9" s="97">
        <v>145349.8815</v>
      </c>
      <c r="X9" s="97">
        <v>143304.667</v>
      </c>
    </row>
    <row r="10" spans="1:24" ht="12.75">
      <c r="A10" s="96">
        <v>7</v>
      </c>
      <c r="B10" s="78" t="s">
        <v>83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120.949</v>
      </c>
      <c r="R10" s="97">
        <v>313.855</v>
      </c>
      <c r="S10" s="97">
        <v>669.047</v>
      </c>
      <c r="T10" s="97">
        <v>1002.805</v>
      </c>
      <c r="U10" s="97">
        <v>1794.332</v>
      </c>
      <c r="V10" s="97">
        <v>2463.379</v>
      </c>
      <c r="W10" s="97">
        <v>3453.139</v>
      </c>
      <c r="X10" s="97">
        <v>4671.9567</v>
      </c>
    </row>
    <row r="11" spans="1:24" ht="25.5">
      <c r="A11" s="96">
        <v>8</v>
      </c>
      <c r="B11" s="78" t="s">
        <v>84</v>
      </c>
      <c r="C11" s="97">
        <v>7614.396</v>
      </c>
      <c r="D11" s="97">
        <v>7694.227</v>
      </c>
      <c r="E11" s="97">
        <v>7768.297</v>
      </c>
      <c r="F11" s="97">
        <v>7713.156</v>
      </c>
      <c r="G11" s="97">
        <v>7755.952</v>
      </c>
      <c r="H11" s="97">
        <v>7880.225</v>
      </c>
      <c r="I11" s="97">
        <v>8000.383</v>
      </c>
      <c r="J11" s="97">
        <v>8086.798</v>
      </c>
      <c r="K11" s="97">
        <v>8197.903</v>
      </c>
      <c r="L11" s="97">
        <v>8453.033</v>
      </c>
      <c r="M11" s="97">
        <v>8588.005</v>
      </c>
      <c r="N11" s="97">
        <v>8818.445</v>
      </c>
      <c r="O11" s="97">
        <v>8864.533</v>
      </c>
      <c r="P11" s="97">
        <v>9092.504</v>
      </c>
      <c r="Q11" s="97">
        <v>9110.61</v>
      </c>
      <c r="R11" s="97">
        <v>9272.741</v>
      </c>
      <c r="S11" s="97">
        <v>9238.998</v>
      </c>
      <c r="T11" s="97">
        <v>9262.772</v>
      </c>
      <c r="U11" s="97">
        <v>9365.655</v>
      </c>
      <c r="V11" s="97">
        <v>9405.106</v>
      </c>
      <c r="W11" s="97">
        <v>9355.555</v>
      </c>
      <c r="X11" s="97">
        <v>9179.0554</v>
      </c>
    </row>
    <row r="12" spans="1:24" ht="25.5">
      <c r="A12" s="96">
        <v>9</v>
      </c>
      <c r="B12" s="78" t="s">
        <v>85</v>
      </c>
      <c r="C12" s="97">
        <v>25213.0095</v>
      </c>
      <c r="D12" s="97">
        <v>25231.395</v>
      </c>
      <c r="E12" s="97">
        <v>24953.4495</v>
      </c>
      <c r="F12" s="97">
        <v>24688.482</v>
      </c>
      <c r="G12" s="97">
        <v>24782.5725</v>
      </c>
      <c r="H12" s="97">
        <v>24555.4575</v>
      </c>
      <c r="I12" s="97">
        <v>24432.1665</v>
      </c>
      <c r="J12" s="97">
        <v>24276.4305</v>
      </c>
      <c r="K12" s="97">
        <v>24242.904</v>
      </c>
      <c r="L12" s="97">
        <v>24119.613</v>
      </c>
      <c r="M12" s="97">
        <v>23646.9975</v>
      </c>
      <c r="N12" s="97">
        <v>23442.594</v>
      </c>
      <c r="O12" s="97">
        <v>22737.456</v>
      </c>
      <c r="P12" s="97">
        <v>22542.786</v>
      </c>
      <c r="Q12" s="97">
        <v>22356.768</v>
      </c>
      <c r="R12" s="97">
        <v>21952.287</v>
      </c>
      <c r="S12" s="97">
        <v>21386.6625</v>
      </c>
      <c r="T12" s="97">
        <v>21486.9225</v>
      </c>
      <c r="U12" s="97">
        <v>21541.992</v>
      </c>
      <c r="V12" s="97">
        <v>21328.5895</v>
      </c>
      <c r="W12" s="97">
        <v>21075.1045</v>
      </c>
      <c r="X12" s="97">
        <v>20931.291</v>
      </c>
    </row>
    <row r="13" spans="1:24" ht="25.5">
      <c r="A13" s="96">
        <v>10</v>
      </c>
      <c r="B13" s="78" t="s">
        <v>86</v>
      </c>
      <c r="C13" s="97">
        <v>22818.105</v>
      </c>
      <c r="D13" s="97">
        <v>23269.245</v>
      </c>
      <c r="E13" s="97">
        <v>23283.15</v>
      </c>
      <c r="F13" s="97">
        <v>23335.68</v>
      </c>
      <c r="G13" s="97">
        <v>23488.635</v>
      </c>
      <c r="H13" s="97">
        <v>23616.87</v>
      </c>
      <c r="I13" s="97">
        <v>23799.18</v>
      </c>
      <c r="J13" s="97">
        <v>23830.08</v>
      </c>
      <c r="K13" s="97">
        <v>23771.37</v>
      </c>
      <c r="L13" s="97">
        <v>23865.615</v>
      </c>
      <c r="M13" s="97">
        <v>23655.495</v>
      </c>
      <c r="N13" s="97">
        <v>23562.795</v>
      </c>
      <c r="O13" s="97">
        <v>22988.055</v>
      </c>
      <c r="P13" s="97">
        <v>22918.53</v>
      </c>
      <c r="Q13" s="97">
        <v>22867.545</v>
      </c>
      <c r="R13" s="97">
        <v>22672.875</v>
      </c>
      <c r="S13" s="97">
        <v>22822.6853</v>
      </c>
      <c r="T13" s="97">
        <v>22574.4966</v>
      </c>
      <c r="U13" s="97">
        <v>22327.6479</v>
      </c>
      <c r="V13" s="97">
        <v>22363.8589</v>
      </c>
      <c r="W13" s="97">
        <v>22268.8209</v>
      </c>
      <c r="X13" s="97">
        <v>22369.7222</v>
      </c>
    </row>
    <row r="14" spans="1:24" ht="12.75">
      <c r="A14" s="96">
        <v>11</v>
      </c>
      <c r="B14" s="78" t="s">
        <v>87</v>
      </c>
      <c r="C14" s="97">
        <v>132375.396</v>
      </c>
      <c r="D14" s="97">
        <v>135667.124</v>
      </c>
      <c r="E14" s="97">
        <v>135818.016</v>
      </c>
      <c r="F14" s="97">
        <v>136044.988</v>
      </c>
      <c r="G14" s="97">
        <v>136370.864</v>
      </c>
      <c r="H14" s="97">
        <v>137482.9</v>
      </c>
      <c r="I14" s="97">
        <v>137905.144</v>
      </c>
      <c r="J14" s="97">
        <v>138163.816</v>
      </c>
      <c r="K14" s="97">
        <v>137777.076</v>
      </c>
      <c r="L14" s="97">
        <v>137425.84</v>
      </c>
      <c r="M14" s="97">
        <v>136968.092</v>
      </c>
      <c r="N14" s="97">
        <v>136900.888</v>
      </c>
      <c r="O14" s="97">
        <v>135291.796</v>
      </c>
      <c r="P14" s="97">
        <v>134916.468</v>
      </c>
      <c r="Q14" s="97">
        <v>134037.468</v>
      </c>
      <c r="R14" s="97">
        <v>133145.224</v>
      </c>
      <c r="S14" s="97">
        <v>132941.808</v>
      </c>
      <c r="T14" s="97">
        <v>131239.748</v>
      </c>
      <c r="U14" s="97">
        <v>131098.266</v>
      </c>
      <c r="V14" s="97">
        <v>129090.93</v>
      </c>
      <c r="W14" s="97">
        <v>126234.288</v>
      </c>
      <c r="X14" s="97">
        <v>124428.1725</v>
      </c>
    </row>
    <row r="15" spans="1:24" ht="12.75">
      <c r="A15" s="96">
        <v>12</v>
      </c>
      <c r="B15" s="78" t="s">
        <v>88</v>
      </c>
      <c r="C15" s="97">
        <v>85231.5475</v>
      </c>
      <c r="D15" s="97">
        <v>86764.37</v>
      </c>
      <c r="E15" s="97">
        <v>89047.0625</v>
      </c>
      <c r="F15" s="97">
        <v>90921.7375</v>
      </c>
      <c r="G15" s="97">
        <v>92315.6135</v>
      </c>
      <c r="H15" s="97">
        <v>93277.2115</v>
      </c>
      <c r="I15" s="97">
        <v>93689.64</v>
      </c>
      <c r="J15" s="97">
        <v>94404.222</v>
      </c>
      <c r="K15" s="97">
        <v>93965.3275</v>
      </c>
      <c r="L15" s="97">
        <v>94690.937</v>
      </c>
      <c r="M15" s="97">
        <v>94653.4435</v>
      </c>
      <c r="N15" s="97">
        <v>94629.183</v>
      </c>
      <c r="O15" s="97">
        <v>93094.155</v>
      </c>
      <c r="P15" s="97">
        <v>93603.6255</v>
      </c>
      <c r="Q15" s="97">
        <v>91578.6475</v>
      </c>
      <c r="R15" s="97">
        <v>90374.36</v>
      </c>
      <c r="S15" s="97">
        <v>89179.2015</v>
      </c>
      <c r="T15" s="97">
        <v>88378.6335</v>
      </c>
      <c r="U15" s="97">
        <v>88938.921</v>
      </c>
      <c r="V15" s="97">
        <v>88364.0122</v>
      </c>
      <c r="W15" s="97">
        <v>87390.6354</v>
      </c>
      <c r="X15" s="97">
        <v>86573.9084</v>
      </c>
    </row>
    <row r="16" spans="1:24" ht="12.75">
      <c r="A16" s="96">
        <v>13</v>
      </c>
      <c r="B16" s="78" t="s">
        <v>89</v>
      </c>
      <c r="C16" s="97">
        <v>98361.4365</v>
      </c>
      <c r="D16" s="97">
        <v>98787.7665</v>
      </c>
      <c r="E16" s="97">
        <v>98055.9</v>
      </c>
      <c r="F16" s="97">
        <v>97717.2045</v>
      </c>
      <c r="G16" s="97">
        <v>97165.344</v>
      </c>
      <c r="H16" s="97">
        <v>96900.072</v>
      </c>
      <c r="I16" s="97">
        <v>97120.3425</v>
      </c>
      <c r="J16" s="97">
        <v>97416.405</v>
      </c>
      <c r="K16" s="97">
        <v>96890.598</v>
      </c>
      <c r="L16" s="97">
        <v>97207.977</v>
      </c>
      <c r="M16" s="97">
        <v>97977.7395</v>
      </c>
      <c r="N16" s="97">
        <v>97435.353</v>
      </c>
      <c r="O16" s="97">
        <v>96987.7065</v>
      </c>
      <c r="P16" s="97">
        <v>96945.0735</v>
      </c>
      <c r="Q16" s="97">
        <v>96104.0535</v>
      </c>
      <c r="R16" s="97">
        <v>95732.9445</v>
      </c>
      <c r="S16" s="97">
        <v>94963.0385</v>
      </c>
      <c r="T16" s="97">
        <v>93905.4265</v>
      </c>
      <c r="U16" s="97">
        <v>93588.743</v>
      </c>
      <c r="V16" s="97">
        <v>91824.8425</v>
      </c>
      <c r="W16" s="97">
        <v>91369.9554</v>
      </c>
      <c r="X16" s="97">
        <v>91135.2478</v>
      </c>
    </row>
    <row r="17" spans="1:24" ht="12.75">
      <c r="A17" s="96">
        <v>14</v>
      </c>
      <c r="B17" s="78" t="s">
        <v>90</v>
      </c>
      <c r="C17" s="97">
        <v>4900.4265</v>
      </c>
      <c r="D17" s="97">
        <v>5478.3405</v>
      </c>
      <c r="E17" s="97">
        <v>5461.761</v>
      </c>
      <c r="F17" s="97">
        <v>5774.403</v>
      </c>
      <c r="G17" s="97">
        <v>6198.3645</v>
      </c>
      <c r="H17" s="97">
        <v>6323.895</v>
      </c>
      <c r="I17" s="97">
        <v>6513.375</v>
      </c>
      <c r="J17" s="97">
        <v>6733.6455</v>
      </c>
      <c r="K17" s="97">
        <v>6889.9665</v>
      </c>
      <c r="L17" s="97">
        <v>6795.2265</v>
      </c>
      <c r="M17" s="97">
        <v>6823.6485</v>
      </c>
      <c r="N17" s="97">
        <v>6541.797</v>
      </c>
      <c r="O17" s="97">
        <v>6210.207</v>
      </c>
      <c r="P17" s="97">
        <v>5897.565</v>
      </c>
      <c r="Q17" s="97">
        <v>6075.6855</v>
      </c>
      <c r="R17" s="97">
        <v>5864.421</v>
      </c>
      <c r="S17" s="97">
        <v>5684.371</v>
      </c>
      <c r="T17" s="97">
        <v>5663.589</v>
      </c>
      <c r="U17" s="97">
        <v>6018.8775</v>
      </c>
      <c r="V17" s="97">
        <v>6058.153</v>
      </c>
      <c r="W17" s="97">
        <v>6319.857</v>
      </c>
      <c r="X17" s="97">
        <v>7177.5355</v>
      </c>
    </row>
    <row r="18" spans="1:24" ht="12.75">
      <c r="A18" s="96">
        <v>15</v>
      </c>
      <c r="B18" s="78" t="s">
        <v>91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489.6765</v>
      </c>
      <c r="N18" s="97">
        <v>1620.933</v>
      </c>
      <c r="O18" s="97">
        <v>3039.0135</v>
      </c>
      <c r="P18" s="97">
        <v>5113.77</v>
      </c>
      <c r="Q18" s="97">
        <v>7389.492</v>
      </c>
      <c r="R18" s="97">
        <v>9622.6761</v>
      </c>
      <c r="S18" s="97">
        <v>11922.8487</v>
      </c>
      <c r="T18" s="97">
        <v>14397.9425</v>
      </c>
      <c r="U18" s="97">
        <v>17532.0132</v>
      </c>
      <c r="V18" s="97">
        <v>20988.6805</v>
      </c>
      <c r="W18" s="97">
        <v>24011.7468</v>
      </c>
      <c r="X18" s="97">
        <v>27715.566</v>
      </c>
    </row>
    <row r="19" spans="1:24" ht="12.75">
      <c r="A19" s="96">
        <v>16</v>
      </c>
      <c r="B19" s="78" t="s">
        <v>92</v>
      </c>
      <c r="C19" s="97">
        <v>36137.925</v>
      </c>
      <c r="D19" s="97">
        <v>39265.8525</v>
      </c>
      <c r="E19" s="97">
        <v>41078.925</v>
      </c>
      <c r="F19" s="97">
        <v>42083.595</v>
      </c>
      <c r="G19" s="97">
        <v>44279.595</v>
      </c>
      <c r="H19" s="97">
        <v>45761.895</v>
      </c>
      <c r="I19" s="97">
        <v>47830.2525</v>
      </c>
      <c r="J19" s="97">
        <v>49560.975</v>
      </c>
      <c r="K19" s="97">
        <v>52080.885</v>
      </c>
      <c r="L19" s="97">
        <v>54385.3125</v>
      </c>
      <c r="M19" s="97">
        <v>56991.69</v>
      </c>
      <c r="N19" s="97">
        <v>59581.5975</v>
      </c>
      <c r="O19" s="97">
        <v>61180.56</v>
      </c>
      <c r="P19" s="97">
        <v>62651.88</v>
      </c>
      <c r="Q19" s="97">
        <v>64146.5325</v>
      </c>
      <c r="R19" s="97">
        <v>65399.625</v>
      </c>
      <c r="S19" s="97">
        <v>66501.7425</v>
      </c>
      <c r="T19" s="97">
        <v>67742.4825</v>
      </c>
      <c r="U19" s="97">
        <v>69253.605</v>
      </c>
      <c r="V19" s="97">
        <v>69915.15</v>
      </c>
      <c r="W19" s="97">
        <v>70512.1875</v>
      </c>
      <c r="X19" s="97">
        <v>71709.0075</v>
      </c>
    </row>
    <row r="20" spans="1:24" ht="12.75">
      <c r="A20" s="96">
        <v>17</v>
      </c>
      <c r="B20" s="78" t="s">
        <v>93</v>
      </c>
      <c r="C20" s="97">
        <v>6221.073</v>
      </c>
      <c r="D20" s="97">
        <v>6853.338</v>
      </c>
      <c r="E20" s="97">
        <v>7232.697</v>
      </c>
      <c r="F20" s="97">
        <v>7479.384</v>
      </c>
      <c r="G20" s="97">
        <v>7844.232</v>
      </c>
      <c r="H20" s="97">
        <v>8153.109</v>
      </c>
      <c r="I20" s="97">
        <v>8213.226</v>
      </c>
      <c r="J20" s="97">
        <v>8497.227</v>
      </c>
      <c r="K20" s="97">
        <v>8830.98</v>
      </c>
      <c r="L20" s="97">
        <v>9282.894</v>
      </c>
      <c r="M20" s="97">
        <v>9459.099</v>
      </c>
      <c r="N20" s="97">
        <v>9670.545</v>
      </c>
      <c r="O20" s="97">
        <v>9765.903</v>
      </c>
      <c r="P20" s="97">
        <v>10213.671</v>
      </c>
      <c r="Q20" s="97">
        <v>10377.438</v>
      </c>
      <c r="R20" s="97">
        <v>10800.33</v>
      </c>
      <c r="S20" s="97">
        <v>11403.573</v>
      </c>
      <c r="T20" s="97">
        <v>11436.741</v>
      </c>
      <c r="U20" s="97">
        <v>12346.788</v>
      </c>
      <c r="V20" s="97">
        <v>12280.452</v>
      </c>
      <c r="W20" s="97">
        <v>12319.839</v>
      </c>
      <c r="X20" s="97">
        <v>12647.373</v>
      </c>
    </row>
    <row r="21" spans="1:24" ht="12.75">
      <c r="A21" s="96">
        <v>18</v>
      </c>
      <c r="B21" s="78" t="s">
        <v>94</v>
      </c>
      <c r="C21" s="97">
        <v>3487.003</v>
      </c>
      <c r="D21" s="97">
        <v>5456.0545</v>
      </c>
      <c r="E21" s="97">
        <v>8385.949</v>
      </c>
      <c r="F21" s="97">
        <v>11004.5845</v>
      </c>
      <c r="G21" s="97">
        <v>14297.6145</v>
      </c>
      <c r="H21" s="97">
        <v>18546.9765</v>
      </c>
      <c r="I21" s="97">
        <v>22913.6245</v>
      </c>
      <c r="J21" s="97">
        <v>27160.731</v>
      </c>
      <c r="K21" s="97">
        <v>32271.694</v>
      </c>
      <c r="L21" s="97">
        <v>37569.8635</v>
      </c>
      <c r="M21" s="97">
        <v>43192.825</v>
      </c>
      <c r="N21" s="97">
        <v>48457.162</v>
      </c>
      <c r="O21" s="97">
        <v>51849.434</v>
      </c>
      <c r="P21" s="97">
        <v>56083.0075</v>
      </c>
      <c r="Q21" s="97">
        <v>59416.6365</v>
      </c>
      <c r="R21" s="97">
        <v>62761.543</v>
      </c>
      <c r="S21" s="97">
        <v>65441.077</v>
      </c>
      <c r="T21" s="97">
        <v>66999.6275</v>
      </c>
      <c r="U21" s="97">
        <v>69848.324</v>
      </c>
      <c r="V21" s="97">
        <v>72397.039</v>
      </c>
      <c r="W21" s="97">
        <v>72843.628</v>
      </c>
      <c r="X21" s="97">
        <v>74332.258</v>
      </c>
    </row>
    <row r="22" spans="1:24" ht="12.75">
      <c r="A22" s="96">
        <v>19</v>
      </c>
      <c r="B22" s="78" t="s">
        <v>95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121.48</v>
      </c>
      <c r="M22" s="97">
        <v>604.363</v>
      </c>
      <c r="N22" s="97">
        <v>1907.236</v>
      </c>
      <c r="O22" s="97">
        <v>3213.146</v>
      </c>
      <c r="P22" s="97">
        <v>4847.052</v>
      </c>
      <c r="Q22" s="97">
        <v>6739.103</v>
      </c>
      <c r="R22" s="97">
        <v>8831.596</v>
      </c>
      <c r="S22" s="97">
        <v>10887.645</v>
      </c>
      <c r="T22" s="97">
        <v>13016.582</v>
      </c>
      <c r="U22" s="97">
        <v>15315.591</v>
      </c>
      <c r="V22" s="97">
        <v>17389.862</v>
      </c>
      <c r="W22" s="97">
        <v>19445.911</v>
      </c>
      <c r="X22" s="97">
        <v>22385.727</v>
      </c>
    </row>
    <row r="23" spans="1:24" ht="12.75">
      <c r="A23" s="96">
        <v>20</v>
      </c>
      <c r="B23" s="78" t="s">
        <v>96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472.416</v>
      </c>
      <c r="N23" s="97">
        <v>1037.184</v>
      </c>
      <c r="O23" s="97">
        <v>1552.224</v>
      </c>
      <c r="P23" s="97">
        <v>2937.504</v>
      </c>
      <c r="Q23" s="97">
        <v>4159.392</v>
      </c>
      <c r="R23" s="97">
        <v>5757.792</v>
      </c>
      <c r="S23" s="97">
        <v>7523.136</v>
      </c>
      <c r="T23" s="97">
        <v>9451.872</v>
      </c>
      <c r="U23" s="97">
        <v>12250.848</v>
      </c>
      <c r="V23" s="97">
        <v>14250.624</v>
      </c>
      <c r="W23" s="97">
        <v>15987.552</v>
      </c>
      <c r="X23" s="97">
        <v>18193.344</v>
      </c>
    </row>
    <row r="24" spans="1:24" ht="12.75">
      <c r="A24" s="96">
        <v>21</v>
      </c>
      <c r="B24" s="78" t="s">
        <v>97</v>
      </c>
      <c r="C24" s="97">
        <v>1043.8</v>
      </c>
      <c r="D24" s="97">
        <v>1156.776</v>
      </c>
      <c r="E24" s="97">
        <v>1173.968</v>
      </c>
      <c r="F24" s="97">
        <v>1223.088</v>
      </c>
      <c r="G24" s="97">
        <v>1313.346</v>
      </c>
      <c r="H24" s="97">
        <v>1410.972</v>
      </c>
      <c r="I24" s="97">
        <v>1432.462</v>
      </c>
      <c r="J24" s="97">
        <v>1425.094</v>
      </c>
      <c r="K24" s="97">
        <v>1465.618</v>
      </c>
      <c r="L24" s="97">
        <v>1506.142</v>
      </c>
      <c r="M24" s="97">
        <v>1558.946</v>
      </c>
      <c r="N24" s="97">
        <v>1534.386</v>
      </c>
      <c r="O24" s="97">
        <v>1550.964</v>
      </c>
      <c r="P24" s="97">
        <v>1522.72</v>
      </c>
      <c r="Q24" s="97">
        <v>1550.35</v>
      </c>
      <c r="R24" s="97">
        <v>1537.456</v>
      </c>
      <c r="S24" s="97">
        <v>1547.894</v>
      </c>
      <c r="T24" s="97">
        <v>1530.702</v>
      </c>
      <c r="U24" s="97">
        <v>1594.558</v>
      </c>
      <c r="V24" s="97">
        <v>1654.73</v>
      </c>
      <c r="W24" s="97">
        <v>1643.064</v>
      </c>
      <c r="X24" s="97">
        <v>1633.854</v>
      </c>
    </row>
    <row r="25" spans="1:24" ht="25.5">
      <c r="A25" s="96">
        <v>22</v>
      </c>
      <c r="B25" s="78" t="s">
        <v>98</v>
      </c>
      <c r="C25" s="97">
        <v>6235.5175</v>
      </c>
      <c r="D25" s="97">
        <v>6346.3565</v>
      </c>
      <c r="E25" s="97">
        <v>6210.8115</v>
      </c>
      <c r="F25" s="97">
        <v>6126.0685</v>
      </c>
      <c r="G25" s="97">
        <v>5973.785</v>
      </c>
      <c r="H25" s="97">
        <v>5943.525</v>
      </c>
      <c r="I25" s="97">
        <v>5941.668</v>
      </c>
      <c r="J25" s="97">
        <v>5828.02</v>
      </c>
      <c r="K25" s="97">
        <v>5766.342</v>
      </c>
      <c r="L25" s="97">
        <v>5648.334</v>
      </c>
      <c r="M25" s="97">
        <v>5666.128</v>
      </c>
      <c r="N25" s="97">
        <v>5516.5455</v>
      </c>
      <c r="O25" s="97">
        <v>5386.4915</v>
      </c>
      <c r="P25" s="97">
        <v>5287.5545</v>
      </c>
      <c r="Q25" s="97">
        <v>5255.3475</v>
      </c>
      <c r="R25" s="97">
        <v>5242.145</v>
      </c>
      <c r="S25" s="97">
        <v>5217.783</v>
      </c>
      <c r="T25" s="97">
        <v>5143.2105</v>
      </c>
      <c r="U25" s="97">
        <v>5046.526</v>
      </c>
      <c r="V25" s="97">
        <v>5064.7015</v>
      </c>
      <c r="W25" s="97">
        <v>4917.927</v>
      </c>
      <c r="X25" s="97">
        <v>4852.0655</v>
      </c>
    </row>
    <row r="26" spans="1:24" ht="25.5">
      <c r="A26" s="96">
        <v>23</v>
      </c>
      <c r="B26" s="78" t="s">
        <v>99</v>
      </c>
      <c r="C26" s="97">
        <v>668.7365</v>
      </c>
      <c r="D26" s="97">
        <v>678.776</v>
      </c>
      <c r="E26" s="97">
        <v>650.0605</v>
      </c>
      <c r="F26" s="97">
        <v>609.362</v>
      </c>
      <c r="G26" s="97">
        <v>609.891</v>
      </c>
      <c r="H26" s="97">
        <v>605.2795</v>
      </c>
      <c r="I26" s="97">
        <v>610.9835</v>
      </c>
      <c r="J26" s="97">
        <v>615.6985</v>
      </c>
      <c r="K26" s="97">
        <v>635.168</v>
      </c>
      <c r="L26" s="97">
        <v>644.345</v>
      </c>
      <c r="M26" s="97">
        <v>650.532</v>
      </c>
      <c r="N26" s="97">
        <v>641.516</v>
      </c>
      <c r="O26" s="97">
        <v>643.494</v>
      </c>
      <c r="P26" s="97">
        <v>634.3515</v>
      </c>
      <c r="Q26" s="97">
        <v>630.7175</v>
      </c>
      <c r="R26" s="97">
        <v>637.951</v>
      </c>
      <c r="S26" s="97">
        <v>643.241</v>
      </c>
      <c r="T26" s="97">
        <v>631.1085</v>
      </c>
      <c r="U26" s="97">
        <v>642.6085</v>
      </c>
      <c r="V26" s="97">
        <v>635.4785</v>
      </c>
      <c r="W26" s="97">
        <v>618.585</v>
      </c>
      <c r="X26" s="97">
        <v>604.4975</v>
      </c>
    </row>
    <row r="27" spans="1:24" ht="25.5">
      <c r="A27" s="96">
        <v>24</v>
      </c>
      <c r="B27" s="78" t="s">
        <v>100</v>
      </c>
      <c r="C27" s="97">
        <v>984.753</v>
      </c>
      <c r="D27" s="97">
        <v>957.313</v>
      </c>
      <c r="E27" s="97">
        <v>952.854</v>
      </c>
      <c r="F27" s="97">
        <v>968.975</v>
      </c>
      <c r="G27" s="97">
        <v>959.714</v>
      </c>
      <c r="H27" s="97">
        <v>971.033</v>
      </c>
      <c r="I27" s="97">
        <v>943.936</v>
      </c>
      <c r="J27" s="97">
        <v>948.395</v>
      </c>
      <c r="K27" s="97">
        <v>948.395</v>
      </c>
      <c r="L27" s="97">
        <v>939.477</v>
      </c>
      <c r="M27" s="97">
        <v>915.124</v>
      </c>
      <c r="N27" s="97">
        <v>928.501</v>
      </c>
      <c r="O27" s="97">
        <v>928.501</v>
      </c>
      <c r="P27" s="97">
        <v>978.236</v>
      </c>
      <c r="Q27" s="97">
        <v>1000.874</v>
      </c>
      <c r="R27" s="97">
        <v>1022.826</v>
      </c>
      <c r="S27" s="97">
        <v>1045.464</v>
      </c>
      <c r="T27" s="97">
        <v>1056.783</v>
      </c>
      <c r="U27" s="97">
        <v>1058.841</v>
      </c>
      <c r="V27" s="97">
        <v>1029.343</v>
      </c>
      <c r="W27" s="97">
        <v>1043.063</v>
      </c>
      <c r="X27" s="97">
        <v>1065.358</v>
      </c>
    </row>
    <row r="28" spans="1:24" ht="25.5">
      <c r="A28" s="96">
        <v>25</v>
      </c>
      <c r="B28" s="78" t="s">
        <v>101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285.2235</v>
      </c>
      <c r="O28" s="97">
        <v>831.606</v>
      </c>
      <c r="P28" s="97">
        <v>1769.3325</v>
      </c>
      <c r="Q28" s="97">
        <v>2954.4105</v>
      </c>
      <c r="R28" s="97">
        <v>4209.7095</v>
      </c>
      <c r="S28" s="97">
        <v>5706.837</v>
      </c>
      <c r="T28" s="97">
        <v>7197.258</v>
      </c>
      <c r="U28" s="97">
        <v>8856.1305</v>
      </c>
      <c r="V28" s="97">
        <v>10474.3695</v>
      </c>
      <c r="W28" s="97">
        <v>12170.325</v>
      </c>
      <c r="X28" s="97">
        <v>14136.1185</v>
      </c>
    </row>
    <row r="29" spans="1:24" ht="25.5">
      <c r="A29" s="96">
        <v>26</v>
      </c>
      <c r="B29" s="78" t="s">
        <v>102</v>
      </c>
      <c r="C29" s="97">
        <v>66997.4735</v>
      </c>
      <c r="D29" s="97">
        <v>68618.1535</v>
      </c>
      <c r="E29" s="97">
        <v>68798.5195</v>
      </c>
      <c r="F29" s="97">
        <v>69482.734</v>
      </c>
      <c r="G29" s="97">
        <v>70133.62</v>
      </c>
      <c r="H29" s="97">
        <v>70812.6065</v>
      </c>
      <c r="I29" s="97">
        <v>71254.3725</v>
      </c>
      <c r="J29" s="97">
        <v>71514.4655</v>
      </c>
      <c r="K29" s="97">
        <v>71650.3935</v>
      </c>
      <c r="L29" s="97">
        <v>71613.144</v>
      </c>
      <c r="M29" s="97">
        <v>71192.9435</v>
      </c>
      <c r="N29" s="97">
        <v>70477.361</v>
      </c>
      <c r="O29" s="97">
        <v>68699.1875</v>
      </c>
      <c r="P29" s="97">
        <v>67033.416</v>
      </c>
      <c r="Q29" s="97">
        <v>64917.637</v>
      </c>
      <c r="R29" s="97">
        <v>62136.5165</v>
      </c>
      <c r="S29" s="97">
        <v>59414.8655</v>
      </c>
      <c r="T29" s="97">
        <v>56288.097</v>
      </c>
      <c r="U29" s="97">
        <v>53213.2965</v>
      </c>
      <c r="V29" s="97">
        <v>49358.2735</v>
      </c>
      <c r="W29" s="97">
        <v>45578.56</v>
      </c>
      <c r="X29" s="97">
        <v>42167.1185</v>
      </c>
    </row>
    <row r="30" spans="1:24" ht="25.5">
      <c r="A30" s="96">
        <v>27</v>
      </c>
      <c r="B30" s="78" t="s">
        <v>103</v>
      </c>
      <c r="C30" s="97">
        <v>30444.959</v>
      </c>
      <c r="D30" s="97">
        <v>30489.9445</v>
      </c>
      <c r="E30" s="97">
        <v>30119.298</v>
      </c>
      <c r="F30" s="97">
        <v>29887.264</v>
      </c>
      <c r="G30" s="97">
        <v>29743.766</v>
      </c>
      <c r="H30" s="97">
        <v>29681.239</v>
      </c>
      <c r="I30" s="97">
        <v>29403.761</v>
      </c>
      <c r="J30" s="97">
        <v>28984.271</v>
      </c>
      <c r="K30" s="97">
        <v>28900.4865</v>
      </c>
      <c r="L30" s="97">
        <v>28892.0055</v>
      </c>
      <c r="M30" s="97">
        <v>29169.284</v>
      </c>
      <c r="N30" s="97">
        <v>28797.278</v>
      </c>
      <c r="O30" s="97">
        <v>28419.8485</v>
      </c>
      <c r="P30" s="97">
        <v>28293.5845</v>
      </c>
      <c r="Q30" s="97">
        <v>28023.29</v>
      </c>
      <c r="R30" s="97">
        <v>27667.513</v>
      </c>
      <c r="S30" s="97">
        <v>27263.3235</v>
      </c>
      <c r="T30" s="97">
        <v>26846.468</v>
      </c>
      <c r="U30" s="97">
        <v>26837.811</v>
      </c>
      <c r="V30" s="97">
        <v>26554.8875</v>
      </c>
      <c r="W30" s="97">
        <v>25965.203</v>
      </c>
      <c r="X30" s="97">
        <v>25771.4355</v>
      </c>
    </row>
    <row r="31" spans="1:24" ht="25.5">
      <c r="A31" s="96">
        <v>28</v>
      </c>
      <c r="B31" s="78" t="s">
        <v>104</v>
      </c>
      <c r="C31" s="97">
        <v>5858.0725</v>
      </c>
      <c r="D31" s="97">
        <v>5915.014</v>
      </c>
      <c r="E31" s="97">
        <v>5746.901</v>
      </c>
      <c r="F31" s="97">
        <v>5602.945</v>
      </c>
      <c r="G31" s="97">
        <v>5633.511</v>
      </c>
      <c r="H31" s="97">
        <v>5620.4465</v>
      </c>
      <c r="I31" s="97">
        <v>5651.259</v>
      </c>
      <c r="J31" s="97">
        <v>5617.242</v>
      </c>
      <c r="K31" s="97">
        <v>5564.7375</v>
      </c>
      <c r="L31" s="97">
        <v>5597.029</v>
      </c>
      <c r="M31" s="97">
        <v>5552.659</v>
      </c>
      <c r="N31" s="97">
        <v>5525.544</v>
      </c>
      <c r="O31" s="97">
        <v>5532.446</v>
      </c>
      <c r="P31" s="97">
        <v>5436.311</v>
      </c>
      <c r="Q31" s="97">
        <v>5441.9805</v>
      </c>
      <c r="R31" s="97">
        <v>5394.6525</v>
      </c>
      <c r="S31" s="97">
        <v>5384.546</v>
      </c>
      <c r="T31" s="97">
        <v>5294.327</v>
      </c>
      <c r="U31" s="97">
        <v>5242.069</v>
      </c>
      <c r="V31" s="97">
        <v>5201.643</v>
      </c>
      <c r="W31" s="97">
        <v>5059.659</v>
      </c>
      <c r="X31" s="97">
        <v>5006.908</v>
      </c>
    </row>
    <row r="32" spans="1:24" ht="12.75">
      <c r="A32" s="96">
        <v>29</v>
      </c>
      <c r="B32" s="78" t="s">
        <v>107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7">
        <v>0</v>
      </c>
      <c r="T32" s="97">
        <v>0</v>
      </c>
      <c r="U32" s="97">
        <v>0</v>
      </c>
      <c r="V32" s="97">
        <v>0</v>
      </c>
      <c r="W32" s="97">
        <v>0</v>
      </c>
      <c r="X32" s="97">
        <v>120.168</v>
      </c>
    </row>
    <row r="34" spans="1:24" s="70" customFormat="1" ht="13.5" thickBot="1">
      <c r="A34" s="94" t="s">
        <v>112</v>
      </c>
      <c r="B34" s="94" t="s">
        <v>111</v>
      </c>
      <c r="C34" s="95" t="s">
        <v>38</v>
      </c>
      <c r="D34" s="95" t="s">
        <v>39</v>
      </c>
      <c r="E34" s="95" t="s">
        <v>40</v>
      </c>
      <c r="F34" s="95" t="s">
        <v>41</v>
      </c>
      <c r="G34" s="95" t="s">
        <v>42</v>
      </c>
      <c r="H34" s="95" t="s">
        <v>43</v>
      </c>
      <c r="I34" s="95" t="s">
        <v>44</v>
      </c>
      <c r="J34" s="95" t="s">
        <v>45</v>
      </c>
      <c r="K34" s="95" t="s">
        <v>46</v>
      </c>
      <c r="L34" s="95" t="s">
        <v>47</v>
      </c>
      <c r="M34" s="95" t="s">
        <v>48</v>
      </c>
      <c r="N34" s="95" t="s">
        <v>49</v>
      </c>
      <c r="O34" s="95" t="s">
        <v>50</v>
      </c>
      <c r="P34" s="95" t="s">
        <v>51</v>
      </c>
      <c r="Q34" s="95" t="s">
        <v>52</v>
      </c>
      <c r="R34" s="95" t="s">
        <v>69</v>
      </c>
      <c r="S34" s="95" t="s">
        <v>70</v>
      </c>
      <c r="T34" s="95" t="s">
        <v>75</v>
      </c>
      <c r="U34" s="95" t="s">
        <v>76</v>
      </c>
      <c r="V34" s="95" t="s">
        <v>105</v>
      </c>
      <c r="W34" s="95" t="s">
        <v>106</v>
      </c>
      <c r="X34" s="95" t="s">
        <v>109</v>
      </c>
    </row>
    <row r="35" spans="1:24" ht="26.25" thickTop="1">
      <c r="A35">
        <v>1</v>
      </c>
      <c r="B35" s="92" t="s">
        <v>77</v>
      </c>
      <c r="C35" s="93">
        <f>VLOOKUP(1,$A$4:$AZ$32,3,FALSE)</f>
        <v>0</v>
      </c>
      <c r="D35" s="93">
        <f>VLOOKUP(1,$A$4:$AZ$32,4,FALSE)</f>
        <v>0</v>
      </c>
      <c r="E35" s="93">
        <f>VLOOKUP(1,$A$4:$AZ$32,5,FALSE)</f>
        <v>0</v>
      </c>
      <c r="F35" s="93">
        <f>VLOOKUP(1,$A$4:$AZ$32,6,FALSE)</f>
        <v>0</v>
      </c>
      <c r="G35" s="93">
        <f>VLOOKUP(1,$A$4:$AZ$32,7,FALSE)</f>
        <v>0</v>
      </c>
      <c r="H35" s="93">
        <f>VLOOKUP(1,$A$4:$AZ$32,8,FALSE)</f>
        <v>0</v>
      </c>
      <c r="I35" s="93">
        <f>VLOOKUP(1,$A$4:$AZ$32,9,FALSE)</f>
        <v>0</v>
      </c>
      <c r="J35" s="93">
        <f>VLOOKUP(1,$A$4:$AZ$32,10,FALSE)</f>
        <v>0</v>
      </c>
      <c r="K35" s="93">
        <f>VLOOKUP(1,$A$4:$AZ$32,11,FALSE)</f>
        <v>13.662</v>
      </c>
      <c r="L35" s="93">
        <f>VLOOKUP(1,$A$4:$AZ$32,12,FALSE)</f>
        <v>43.884</v>
      </c>
      <c r="M35" s="93">
        <f>VLOOKUP(1,$A$4:$AZ$32,13,FALSE)</f>
        <v>51.336</v>
      </c>
      <c r="N35" s="93">
        <f>VLOOKUP(1,$A$4:$AZ$32,14,FALSE)</f>
        <v>100.188</v>
      </c>
      <c r="O35" s="93">
        <f>VLOOKUP(1,$A$4:$AZ$32,15,FALSE)</f>
        <v>149.868</v>
      </c>
      <c r="P35" s="93">
        <f>VLOOKUP(1,$A$4:$AZ$32,16,FALSE)</f>
        <v>199.548</v>
      </c>
      <c r="Q35" s="93">
        <f>VLOOKUP(1,$A$4:$AZ$32,17,FALSE)</f>
        <v>254.61</v>
      </c>
      <c r="R35" s="93">
        <f>VLOOKUP(1,$A$4:$AZ$32,18,FALSE)</f>
        <v>309.672</v>
      </c>
      <c r="S35" s="93">
        <f>VLOOKUP(1,$A$4:$AZ$32,19,FALSE)</f>
        <v>375.498</v>
      </c>
      <c r="T35" s="93">
        <f>VLOOKUP(1,$A$4:$AZ$32,20,FALSE)</f>
        <v>441.324</v>
      </c>
      <c r="U35" s="93">
        <f>VLOOKUP(1,$A$4:$AZ$32,21,FALSE)</f>
        <v>507.15</v>
      </c>
      <c r="V35" s="93">
        <f>VLOOKUP(1,$A$4:$AZ$32,22,FALSE)</f>
        <v>569.664</v>
      </c>
      <c r="W35" s="93">
        <f>VLOOKUP(1,$A$4:$AZ$32,23,FALSE)</f>
        <v>596.988</v>
      </c>
      <c r="X35" s="93">
        <f>VLOOKUP(1,$A$4:$AZ$32,24,FALSE)</f>
        <v>670.68</v>
      </c>
    </row>
    <row r="36" spans="1:24" ht="25.5">
      <c r="A36">
        <v>2</v>
      </c>
      <c r="B36" s="78" t="s">
        <v>78</v>
      </c>
      <c r="C36" s="93">
        <f>VLOOKUP(2,$A$4:$AZ$32,3,FALSE)</f>
        <v>139085.928</v>
      </c>
      <c r="D36" s="93">
        <f>VLOOKUP(2,$A$4:$AZ$32,4,FALSE)</f>
        <v>139686.315</v>
      </c>
      <c r="E36" s="93">
        <f>VLOOKUP(2,$A$4:$AZ$32,5,FALSE)</f>
        <v>136802.5955</v>
      </c>
      <c r="F36" s="93">
        <f>VLOOKUP(2,$A$4:$AZ$32,6,FALSE)</f>
        <v>135030.7225</v>
      </c>
      <c r="G36" s="93">
        <f>VLOOKUP(2,$A$4:$AZ$32,7,FALSE)</f>
        <v>133578.0225</v>
      </c>
      <c r="H36" s="93">
        <f>VLOOKUP(2,$A$4:$AZ$32,8,FALSE)</f>
        <v>132141.178</v>
      </c>
      <c r="I36" s="93">
        <f>VLOOKUP(2,$A$4:$AZ$32,9,FALSE)</f>
        <v>130222.673</v>
      </c>
      <c r="J36" s="93">
        <f>VLOOKUP(2,$A$4:$AZ$32,10,FALSE)</f>
        <v>129113.5145</v>
      </c>
      <c r="K36" s="93">
        <f>VLOOKUP(2,$A$4:$AZ$32,11,FALSE)</f>
        <v>127908.27</v>
      </c>
      <c r="L36" s="93">
        <f>VLOOKUP(2,$A$4:$AZ$32,12,FALSE)</f>
        <v>127029.62</v>
      </c>
      <c r="M36" s="93">
        <f>VLOOKUP(2,$A$4:$AZ$32,13,FALSE)</f>
        <v>126190.6735</v>
      </c>
      <c r="N36" s="93">
        <f>VLOOKUP(2,$A$4:$AZ$32,14,FALSE)</f>
        <v>124835.537</v>
      </c>
      <c r="O36" s="93">
        <f>VLOOKUP(2,$A$4:$AZ$32,15,FALSE)</f>
        <v>122580.9975</v>
      </c>
      <c r="P36" s="93">
        <f>VLOOKUP(2,$A$4:$AZ$32,16,FALSE)</f>
        <v>121864.392</v>
      </c>
      <c r="Q36" s="93">
        <f>VLOOKUP(2,$A$4:$AZ$32,17,FALSE)</f>
        <v>121739.6005</v>
      </c>
      <c r="R36" s="93">
        <f>VLOOKUP(2,$A$4:$AZ$32,18,FALSE)</f>
        <v>121740.6775</v>
      </c>
      <c r="S36" s="93">
        <f>VLOOKUP(2,$A$4:$AZ$32,19,FALSE)</f>
        <v>120955.756</v>
      </c>
      <c r="T36" s="93">
        <f>VLOOKUP(2,$A$4:$AZ$32,20,FALSE)</f>
        <v>120309.3185</v>
      </c>
      <c r="U36" s="93">
        <f>VLOOKUP(2,$A$4:$AZ$32,21,FALSE)</f>
        <v>120990.75</v>
      </c>
      <c r="V36" s="93">
        <f>VLOOKUP(2,$A$4:$AZ$32,22,FALSE)</f>
        <v>119645.0735</v>
      </c>
      <c r="W36" s="93">
        <f>VLOOKUP(2,$A$4:$AZ$32,23,FALSE)</f>
        <v>118354.4175</v>
      </c>
      <c r="X36" s="93">
        <f>VLOOKUP(2,$A$4:$AZ$32,24,FALSE)</f>
        <v>118547.6235</v>
      </c>
    </row>
    <row r="37" spans="1:24" ht="25.5">
      <c r="A37">
        <v>3</v>
      </c>
      <c r="B37" s="78" t="s">
        <v>79</v>
      </c>
      <c r="C37" s="93">
        <f>VLOOKUP(3,$A$4:$AZ$32,3,FALSE)</f>
        <v>34949.53</v>
      </c>
      <c r="D37" s="93">
        <f>VLOOKUP(3,$A$4:$AZ$32,4,FALSE)</f>
        <v>36526.305</v>
      </c>
      <c r="E37" s="93">
        <f>VLOOKUP(3,$A$4:$AZ$32,5,FALSE)</f>
        <v>36845.0775</v>
      </c>
      <c r="F37" s="93">
        <f>VLOOKUP(3,$A$4:$AZ$32,6,FALSE)</f>
        <v>37051.545</v>
      </c>
      <c r="G37" s="93">
        <f>VLOOKUP(3,$A$4:$AZ$32,7,FALSE)</f>
        <v>37508.6825</v>
      </c>
      <c r="H37" s="93">
        <f>VLOOKUP(3,$A$4:$AZ$32,8,FALSE)</f>
        <v>37415.9</v>
      </c>
      <c r="I37" s="93">
        <f>VLOOKUP(3,$A$4:$AZ$32,9,FALSE)</f>
        <v>37885.6625</v>
      </c>
      <c r="J37" s="93">
        <f>VLOOKUP(3,$A$4:$AZ$32,10,FALSE)</f>
        <v>38133.6875</v>
      </c>
      <c r="K37" s="93">
        <f>VLOOKUP(3,$A$4:$AZ$32,11,FALSE)</f>
        <v>38291.4</v>
      </c>
      <c r="L37" s="93">
        <f>VLOOKUP(3,$A$4:$AZ$32,12,FALSE)</f>
        <v>38393.9</v>
      </c>
      <c r="M37" s="93">
        <f>VLOOKUP(3,$A$4:$AZ$32,13,FALSE)</f>
        <v>38207.9875</v>
      </c>
      <c r="N37" s="93">
        <f>VLOOKUP(3,$A$4:$AZ$32,14,FALSE)</f>
        <v>37398.4625</v>
      </c>
      <c r="O37" s="93">
        <f>VLOOKUP(3,$A$4:$AZ$32,15,FALSE)</f>
        <v>36920.2375</v>
      </c>
      <c r="P37" s="93">
        <f>VLOOKUP(3,$A$4:$AZ$32,16,FALSE)</f>
        <v>36541.3</v>
      </c>
      <c r="Q37" s="93">
        <f>VLOOKUP(3,$A$4:$AZ$32,17,FALSE)</f>
        <v>36416.65</v>
      </c>
      <c r="R37" s="93">
        <f>VLOOKUP(3,$A$4:$AZ$32,18,FALSE)</f>
        <v>36177.8875</v>
      </c>
      <c r="S37" s="93">
        <f>VLOOKUP(3,$A$4:$AZ$32,19,FALSE)</f>
        <v>36026.75</v>
      </c>
      <c r="T37" s="93">
        <f>VLOOKUP(3,$A$4:$AZ$32,20,FALSE)</f>
        <v>35956.025</v>
      </c>
      <c r="U37" s="93">
        <f>VLOOKUP(3,$A$4:$AZ$32,21,FALSE)</f>
        <v>35898.3</v>
      </c>
      <c r="V37" s="93">
        <f>VLOOKUP(3,$A$4:$AZ$32,22,FALSE)</f>
        <v>35433.7625</v>
      </c>
      <c r="W37" s="93">
        <f>VLOOKUP(3,$A$4:$AZ$32,23,FALSE)</f>
        <v>34955.85</v>
      </c>
      <c r="X37" s="93">
        <f>VLOOKUP(3,$A$4:$AZ$32,24,FALSE)</f>
        <v>34891.4</v>
      </c>
    </row>
    <row r="38" spans="1:24" ht="25.5">
      <c r="A38">
        <v>4</v>
      </c>
      <c r="B38" s="78" t="s">
        <v>80</v>
      </c>
      <c r="C38" s="93">
        <f>VLOOKUP(4,$A$4:$AZ$32,3,FALSE)</f>
        <v>0</v>
      </c>
      <c r="D38" s="93">
        <f>VLOOKUP(4,$A$4:$AZ$32,4,FALSE)</f>
        <v>0</v>
      </c>
      <c r="E38" s="93">
        <f>VLOOKUP(4,$A$4:$AZ$32,5,FALSE)</f>
        <v>0</v>
      </c>
      <c r="F38" s="93">
        <f>VLOOKUP(4,$A$4:$AZ$32,6,FALSE)</f>
        <v>0</v>
      </c>
      <c r="G38" s="93">
        <f>VLOOKUP(4,$A$4:$AZ$32,7,FALSE)</f>
        <v>0</v>
      </c>
      <c r="H38" s="93">
        <f>VLOOKUP(4,$A$4:$AZ$32,8,FALSE)</f>
        <v>0</v>
      </c>
      <c r="I38" s="93">
        <f>VLOOKUP(4,$A$4:$AZ$32,9,FALSE)</f>
        <v>0</v>
      </c>
      <c r="J38" s="93">
        <f>VLOOKUP(4,$A$4:$AZ$32,10,FALSE)</f>
        <v>0</v>
      </c>
      <c r="K38" s="93">
        <f>VLOOKUP(4,$A$4:$AZ$32,11,FALSE)</f>
        <v>0</v>
      </c>
      <c r="L38" s="93">
        <f>VLOOKUP(4,$A$4:$AZ$32,12,FALSE)</f>
        <v>0</v>
      </c>
      <c r="M38" s="93">
        <f>VLOOKUP(4,$A$4:$AZ$32,13,FALSE)</f>
        <v>0</v>
      </c>
      <c r="N38" s="93">
        <f>VLOOKUP(4,$A$4:$AZ$32,14,FALSE)</f>
        <v>0</v>
      </c>
      <c r="O38" s="93">
        <f>VLOOKUP(4,$A$4:$AZ$32,15,FALSE)</f>
        <v>0</v>
      </c>
      <c r="P38" s="93">
        <f>VLOOKUP(4,$A$4:$AZ$32,16,FALSE)</f>
        <v>0</v>
      </c>
      <c r="Q38" s="93">
        <f>VLOOKUP(4,$A$4:$AZ$32,17,FALSE)</f>
        <v>0</v>
      </c>
      <c r="R38" s="93">
        <f>VLOOKUP(4,$A$4:$AZ$32,18,FALSE)</f>
        <v>0</v>
      </c>
      <c r="S38" s="93">
        <f>VLOOKUP(4,$A$4:$AZ$32,19,FALSE)</f>
        <v>0</v>
      </c>
      <c r="T38" s="93">
        <f>VLOOKUP(4,$A$4:$AZ$32,20,FALSE)</f>
        <v>0</v>
      </c>
      <c r="U38" s="93">
        <f>VLOOKUP(4,$A$4:$AZ$32,21,FALSE)</f>
        <v>7.189</v>
      </c>
      <c r="V38" s="93">
        <f>VLOOKUP(4,$A$4:$AZ$32,22,FALSE)</f>
        <v>7.189</v>
      </c>
      <c r="W38" s="93">
        <f>VLOOKUP(4,$A$4:$AZ$32,23,FALSE)</f>
        <v>7.189</v>
      </c>
      <c r="X38" s="93">
        <f>VLOOKUP(4,$A$4:$AZ$32,24,FALSE)</f>
        <v>14.739</v>
      </c>
    </row>
    <row r="39" spans="1:24" ht="25.5">
      <c r="A39">
        <v>5</v>
      </c>
      <c r="B39" s="78" t="s">
        <v>81</v>
      </c>
      <c r="C39" s="93">
        <f>VLOOKUP(5,$A$4:$AZ$32,3,FALSE)</f>
        <v>221831.2725</v>
      </c>
      <c r="D39" s="93">
        <f>VLOOKUP(5,$A$4:$AZ$32,4,FALSE)</f>
        <v>223795.221</v>
      </c>
      <c r="E39" s="93">
        <f>VLOOKUP(5,$A$4:$AZ$32,5,FALSE)</f>
        <v>222729.663</v>
      </c>
      <c r="F39" s="93">
        <f>VLOOKUP(5,$A$4:$AZ$32,6,FALSE)</f>
        <v>221369.6745</v>
      </c>
      <c r="G39" s="93">
        <f>VLOOKUP(5,$A$4:$AZ$32,7,FALSE)</f>
        <v>219842.5185</v>
      </c>
      <c r="H39" s="93">
        <f>VLOOKUP(5,$A$4:$AZ$32,8,FALSE)</f>
        <v>218787.7455</v>
      </c>
      <c r="I39" s="93">
        <f>VLOOKUP(5,$A$4:$AZ$32,9,FALSE)</f>
        <v>217196.958</v>
      </c>
      <c r="J39" s="93">
        <f>VLOOKUP(5,$A$4:$AZ$32,10,FALSE)</f>
        <v>215578.1295</v>
      </c>
      <c r="K39" s="93">
        <f>VLOOKUP(5,$A$4:$AZ$32,11,FALSE)</f>
        <v>213932.3385</v>
      </c>
      <c r="L39" s="93">
        <f>VLOOKUP(5,$A$4:$AZ$32,12,FALSE)</f>
        <v>211579.0515</v>
      </c>
      <c r="M39" s="93">
        <f>VLOOKUP(5,$A$4:$AZ$32,13,FALSE)</f>
        <v>211098.0405</v>
      </c>
      <c r="N39" s="93">
        <f>VLOOKUP(5,$A$4:$AZ$32,14,FALSE)</f>
        <v>208145.1075</v>
      </c>
      <c r="O39" s="93">
        <f>VLOOKUP(5,$A$4:$AZ$32,15,FALSE)</f>
        <v>205200.8025</v>
      </c>
      <c r="P39" s="93">
        <f>VLOOKUP(5,$A$4:$AZ$32,16,FALSE)</f>
        <v>203695.2165</v>
      </c>
      <c r="Q39" s="93">
        <f>VLOOKUP(5,$A$4:$AZ$32,17,FALSE)</f>
        <v>200904.0585</v>
      </c>
      <c r="R39" s="93">
        <f>VLOOKUP(5,$A$4:$AZ$32,18,FALSE)</f>
        <v>197950.1135</v>
      </c>
      <c r="S39" s="93">
        <f>VLOOKUP(5,$A$4:$AZ$32,19,FALSE)</f>
        <v>194553.3805</v>
      </c>
      <c r="T39" s="93">
        <f>VLOOKUP(5,$A$4:$AZ$32,20,FALSE)</f>
        <v>189578.555</v>
      </c>
      <c r="U39" s="93">
        <f>VLOOKUP(5,$A$4:$AZ$32,21,FALSE)</f>
        <v>186657.3302</v>
      </c>
      <c r="V39" s="93">
        <f>VLOOKUP(5,$A$4:$AZ$32,22,FALSE)</f>
        <v>182104.7214</v>
      </c>
      <c r="W39" s="93">
        <f>VLOOKUP(5,$A$4:$AZ$32,23,FALSE)</f>
        <v>176081.6623</v>
      </c>
      <c r="X39" s="93">
        <f>VLOOKUP(5,$A$4:$AZ$32,24,FALSE)</f>
        <v>172991.077</v>
      </c>
    </row>
    <row r="40" spans="1:24" ht="25.5">
      <c r="A40">
        <v>6</v>
      </c>
      <c r="B40" s="78" t="s">
        <v>82</v>
      </c>
      <c r="C40" s="93">
        <f>VLOOKUP(6,$A$4:$AZ$32,3,FALSE)</f>
        <v>163886.052</v>
      </c>
      <c r="D40" s="93">
        <f>VLOOKUP(6,$A$4:$AZ$32,4,FALSE)</f>
        <v>167868.5525</v>
      </c>
      <c r="E40" s="93">
        <f>VLOOKUP(6,$A$4:$AZ$32,5,FALSE)</f>
        <v>169235.077</v>
      </c>
      <c r="F40" s="93">
        <f>VLOOKUP(6,$A$4:$AZ$32,6,FALSE)</f>
        <v>168698.156</v>
      </c>
      <c r="G40" s="93">
        <f>VLOOKUP(6,$A$4:$AZ$32,7,FALSE)</f>
        <v>171114.3005</v>
      </c>
      <c r="H40" s="93">
        <f>VLOOKUP(6,$A$4:$AZ$32,8,FALSE)</f>
        <v>171806.646</v>
      </c>
      <c r="I40" s="93">
        <f>VLOOKUP(6,$A$4:$AZ$32,9,FALSE)</f>
        <v>171404.9645</v>
      </c>
      <c r="J40" s="93">
        <f>VLOOKUP(6,$A$4:$AZ$32,10,FALSE)</f>
        <v>170512.7875</v>
      </c>
      <c r="K40" s="93">
        <f>VLOOKUP(6,$A$4:$AZ$32,11,FALSE)</f>
        <v>170046.514</v>
      </c>
      <c r="L40" s="93">
        <f>VLOOKUP(6,$A$4:$AZ$32,12,FALSE)</f>
        <v>170034.403</v>
      </c>
      <c r="M40" s="93">
        <f>VLOOKUP(6,$A$4:$AZ$32,13,FALSE)</f>
        <v>170845.84</v>
      </c>
      <c r="N40" s="93">
        <f>VLOOKUP(6,$A$4:$AZ$32,14,FALSE)</f>
        <v>169519.6855</v>
      </c>
      <c r="O40" s="93">
        <f>VLOOKUP(6,$A$4:$AZ$32,15,FALSE)</f>
        <v>166770.4885</v>
      </c>
      <c r="P40" s="93">
        <f>VLOOKUP(6,$A$4:$AZ$32,16,FALSE)</f>
        <v>166639.286</v>
      </c>
      <c r="Q40" s="93">
        <f>VLOOKUP(6,$A$4:$AZ$32,17,FALSE)</f>
        <v>164828.6915</v>
      </c>
      <c r="R40" s="93">
        <f>VLOOKUP(6,$A$4:$AZ$32,18,FALSE)</f>
        <v>163952.818</v>
      </c>
      <c r="S40" s="93">
        <f>VLOOKUP(6,$A$4:$AZ$32,19,FALSE)</f>
        <v>160276.077</v>
      </c>
      <c r="T40" s="93">
        <f>VLOOKUP(6,$A$4:$AZ$32,20,FALSE)</f>
        <v>157019.8215</v>
      </c>
      <c r="U40" s="93">
        <f>VLOOKUP(6,$A$4:$AZ$32,21,FALSE)</f>
        <v>154651.584</v>
      </c>
      <c r="V40" s="93">
        <f>VLOOKUP(6,$A$4:$AZ$32,22,FALSE)</f>
        <v>150232.5205</v>
      </c>
      <c r="W40" s="93">
        <f>VLOOKUP(6,$A$4:$AZ$32,23,FALSE)</f>
        <v>145349.8815</v>
      </c>
      <c r="X40" s="93">
        <f>VLOOKUP(6,$A$4:$AZ$32,24,FALSE)</f>
        <v>143304.667</v>
      </c>
    </row>
    <row r="41" spans="1:24" ht="12.75">
      <c r="A41">
        <v>7</v>
      </c>
      <c r="B41" s="78" t="s">
        <v>83</v>
      </c>
      <c r="C41" s="93">
        <f>VLOOKUP(7,$A$4:$AZ$32,3,FALSE)</f>
        <v>0</v>
      </c>
      <c r="D41" s="93">
        <f>VLOOKUP(7,$A$4:$AZ$32,4,FALSE)</f>
        <v>0</v>
      </c>
      <c r="E41" s="93">
        <f>VLOOKUP(7,$A$4:$AZ$32,5,FALSE)</f>
        <v>0</v>
      </c>
      <c r="F41" s="93">
        <f>VLOOKUP(7,$A$4:$AZ$32,6,FALSE)</f>
        <v>0</v>
      </c>
      <c r="G41" s="93">
        <f>VLOOKUP(7,$A$4:$AZ$32,7,FALSE)</f>
        <v>0</v>
      </c>
      <c r="H41" s="93">
        <f>VLOOKUP(7,$A$4:$AZ$32,8,FALSE)</f>
        <v>0</v>
      </c>
      <c r="I41" s="93">
        <f>VLOOKUP(7,$A$4:$AZ$32,9,FALSE)</f>
        <v>0</v>
      </c>
      <c r="J41" s="93">
        <f>VLOOKUP(7,$A$4:$AZ$32,10,FALSE)</f>
        <v>0</v>
      </c>
      <c r="K41" s="93">
        <f>VLOOKUP(7,$A$4:$AZ$32,11,FALSE)</f>
        <v>0</v>
      </c>
      <c r="L41" s="93">
        <f>VLOOKUP(7,$A$4:$AZ$32,12,FALSE)</f>
        <v>0</v>
      </c>
      <c r="M41" s="93">
        <f>VLOOKUP(7,$A$4:$AZ$32,13,FALSE)</f>
        <v>0</v>
      </c>
      <c r="N41" s="93">
        <f>VLOOKUP(7,$A$4:$AZ$32,14,FALSE)</f>
        <v>0</v>
      </c>
      <c r="O41" s="93">
        <f>VLOOKUP(7,$A$4:$AZ$32,15,FALSE)</f>
        <v>0</v>
      </c>
      <c r="P41" s="93">
        <f>VLOOKUP(7,$A$4:$AZ$32,16,FALSE)</f>
        <v>0</v>
      </c>
      <c r="Q41" s="93">
        <f>VLOOKUP(7,$A$4:$AZ$32,17,FALSE)</f>
        <v>120.949</v>
      </c>
      <c r="R41" s="93">
        <f>VLOOKUP(7,$A$4:$AZ$32,18,FALSE)</f>
        <v>313.855</v>
      </c>
      <c r="S41" s="93">
        <f>VLOOKUP(7,$A$4:$AZ$32,19,FALSE)</f>
        <v>669.047</v>
      </c>
      <c r="T41" s="93">
        <f>VLOOKUP(7,$A$4:$AZ$32,20,FALSE)</f>
        <v>1002.805</v>
      </c>
      <c r="U41" s="93">
        <f>VLOOKUP(7,$A$4:$AZ$32,21,FALSE)</f>
        <v>1794.332</v>
      </c>
      <c r="V41" s="93">
        <f>VLOOKUP(7,$A$4:$AZ$32,22,FALSE)</f>
        <v>2463.379</v>
      </c>
      <c r="W41" s="93">
        <f>VLOOKUP(7,$A$4:$AZ$32,23,FALSE)</f>
        <v>3453.139</v>
      </c>
      <c r="X41" s="93">
        <f>VLOOKUP(7,$A$4:$AZ$32,24,FALSE)</f>
        <v>4671.9567</v>
      </c>
    </row>
    <row r="42" spans="1:24" ht="25.5">
      <c r="A42">
        <v>8</v>
      </c>
      <c r="B42" s="78" t="s">
        <v>84</v>
      </c>
      <c r="C42" s="93">
        <f>VLOOKUP(8,$A$4:$AZ$32,3,FALSE)</f>
        <v>7614.396</v>
      </c>
      <c r="D42" s="93">
        <f>VLOOKUP(8,$A$4:$AZ$32,4,FALSE)</f>
        <v>7694.227</v>
      </c>
      <c r="E42" s="93">
        <f>VLOOKUP(8,$A$4:$AZ$32,5,FALSE)</f>
        <v>7768.297</v>
      </c>
      <c r="F42" s="93">
        <f>VLOOKUP(8,$A$4:$AZ$32,6,FALSE)</f>
        <v>7713.156</v>
      </c>
      <c r="G42" s="93">
        <f>VLOOKUP(8,$A$4:$AZ$32,7,FALSE)</f>
        <v>7755.952</v>
      </c>
      <c r="H42" s="93">
        <f>VLOOKUP(8,$A$4:$AZ$32,8,FALSE)</f>
        <v>7880.225</v>
      </c>
      <c r="I42" s="93">
        <f>VLOOKUP(8,$A$4:$AZ$32,9,FALSE)</f>
        <v>8000.383</v>
      </c>
      <c r="J42" s="93">
        <f>VLOOKUP(8,$A$4:$AZ$32,10,FALSE)</f>
        <v>8086.798</v>
      </c>
      <c r="K42" s="93">
        <f>VLOOKUP(8,$A$4:$AZ$32,11,FALSE)</f>
        <v>8197.903</v>
      </c>
      <c r="L42" s="93">
        <f>VLOOKUP(8,$A$4:$AZ$32,12,FALSE)</f>
        <v>8453.033</v>
      </c>
      <c r="M42" s="93">
        <f>VLOOKUP(8,$A$4:$AZ$32,13,FALSE)</f>
        <v>8588.005</v>
      </c>
      <c r="N42" s="93">
        <f>VLOOKUP(8,$A$4:$AZ$32,14,FALSE)</f>
        <v>8818.445</v>
      </c>
      <c r="O42" s="93">
        <f>VLOOKUP(8,$A$4:$AZ$32,15,FALSE)</f>
        <v>8864.533</v>
      </c>
      <c r="P42" s="93">
        <f>VLOOKUP(8,$A$4:$AZ$32,16,FALSE)</f>
        <v>9092.504</v>
      </c>
      <c r="Q42" s="93">
        <f>VLOOKUP(8,$A$4:$AZ$32,17,FALSE)</f>
        <v>9110.61</v>
      </c>
      <c r="R42" s="93">
        <f>VLOOKUP(8,$A$4:$AZ$32,18,FALSE)</f>
        <v>9272.741</v>
      </c>
      <c r="S42" s="93">
        <f>VLOOKUP(8,$A$4:$AZ$32,19,FALSE)</f>
        <v>9238.998</v>
      </c>
      <c r="T42" s="93">
        <f>VLOOKUP(8,$A$4:$AZ$32,20,FALSE)</f>
        <v>9262.772</v>
      </c>
      <c r="U42" s="93">
        <f>VLOOKUP(8,$A$4:$AZ$32,21,FALSE)</f>
        <v>9365.655</v>
      </c>
      <c r="V42" s="93">
        <f>VLOOKUP(8,$A$4:$AZ$32,22,FALSE)</f>
        <v>9405.106</v>
      </c>
      <c r="W42" s="93">
        <f>VLOOKUP(8,$A$4:$AZ$32,23,FALSE)</f>
        <v>9355.555</v>
      </c>
      <c r="X42" s="93">
        <f>VLOOKUP(8,$A$4:$AZ$32,24,FALSE)</f>
        <v>9179.0554</v>
      </c>
    </row>
    <row r="43" spans="1:24" ht="25.5">
      <c r="A43">
        <v>9</v>
      </c>
      <c r="B43" s="78" t="s">
        <v>85</v>
      </c>
      <c r="C43" s="93">
        <f>VLOOKUP(9,$A$4:$AZ$32,3,FALSE)</f>
        <v>25213.0095</v>
      </c>
      <c r="D43" s="93">
        <f>VLOOKUP(9,$A$4:$AZ$32,4,FALSE)</f>
        <v>25231.395</v>
      </c>
      <c r="E43" s="93">
        <f>VLOOKUP(9,$A$4:$AZ$32,5,FALSE)</f>
        <v>24953.4495</v>
      </c>
      <c r="F43" s="93">
        <f>VLOOKUP(9,$A$4:$AZ$32,6,FALSE)</f>
        <v>24688.482</v>
      </c>
      <c r="G43" s="93">
        <f>VLOOKUP(9,$A$4:$AZ$32,7,FALSE)</f>
        <v>24782.5725</v>
      </c>
      <c r="H43" s="93">
        <f>VLOOKUP(9,$A$4:$AZ$32,8,FALSE)</f>
        <v>24555.4575</v>
      </c>
      <c r="I43" s="93">
        <f>VLOOKUP(9,$A$4:$AZ$32,9,FALSE)</f>
        <v>24432.1665</v>
      </c>
      <c r="J43" s="93">
        <f>VLOOKUP(9,$A$4:$AZ$32,10,FALSE)</f>
        <v>24276.4305</v>
      </c>
      <c r="K43" s="93">
        <f>VLOOKUP(9,$A$4:$AZ$32,11,FALSE)</f>
        <v>24242.904</v>
      </c>
      <c r="L43" s="93">
        <f>VLOOKUP(9,$A$4:$AZ$32,12,FALSE)</f>
        <v>24119.613</v>
      </c>
      <c r="M43" s="93">
        <f>VLOOKUP(9,$A$4:$AZ$32,13,FALSE)</f>
        <v>23646.9975</v>
      </c>
      <c r="N43" s="93">
        <f>VLOOKUP(9,$A$4:$AZ$32,14,FALSE)</f>
        <v>23442.594</v>
      </c>
      <c r="O43" s="93">
        <f>VLOOKUP(9,$A$4:$AZ$32,15,FALSE)</f>
        <v>22737.456</v>
      </c>
      <c r="P43" s="93">
        <f>VLOOKUP(9,$A$4:$AZ$32,16,FALSE)</f>
        <v>22542.786</v>
      </c>
      <c r="Q43" s="93">
        <f>VLOOKUP(9,$A$4:$AZ$32,17,FALSE)</f>
        <v>22356.768</v>
      </c>
      <c r="R43" s="93">
        <f>VLOOKUP(9,$A$4:$AZ$32,18,FALSE)</f>
        <v>21952.287</v>
      </c>
      <c r="S43" s="93">
        <f>VLOOKUP(9,$A$4:$AZ$32,19,FALSE)</f>
        <v>21386.6625</v>
      </c>
      <c r="T43" s="93">
        <f>VLOOKUP(9,$A$4:$AZ$32,20,FALSE)</f>
        <v>21486.9225</v>
      </c>
      <c r="U43" s="93">
        <f>VLOOKUP(9,$A$4:$AZ$32,21,FALSE)</f>
        <v>21541.992</v>
      </c>
      <c r="V43" s="93">
        <f>VLOOKUP(9,$A$4:$AZ$32,22,FALSE)</f>
        <v>21328.5895</v>
      </c>
      <c r="W43" s="93">
        <f>VLOOKUP(9,$A$4:$AZ$32,23,FALSE)</f>
        <v>21075.1045</v>
      </c>
      <c r="X43" s="93">
        <f>VLOOKUP(9,$A$4:$AZ$32,24,FALSE)</f>
        <v>20931.291</v>
      </c>
    </row>
    <row r="44" spans="1:24" ht="25.5">
      <c r="A44">
        <v>10</v>
      </c>
      <c r="B44" s="78" t="s">
        <v>86</v>
      </c>
      <c r="C44" s="93">
        <f>VLOOKUP(10,$A$4:$AZ$32,3,FALSE)</f>
        <v>22818.105</v>
      </c>
      <c r="D44" s="93">
        <f>VLOOKUP(10,$A$4:$AZ$32,4,FALSE)</f>
        <v>23269.245</v>
      </c>
      <c r="E44" s="93">
        <f>VLOOKUP(10,$A$4:$AZ$32,5,FALSE)</f>
        <v>23283.15</v>
      </c>
      <c r="F44" s="93">
        <f>VLOOKUP(10,$A$4:$AZ$32,6,FALSE)</f>
        <v>23335.68</v>
      </c>
      <c r="G44" s="93">
        <f>VLOOKUP(10,$A$4:$AZ$32,7,FALSE)</f>
        <v>23488.635</v>
      </c>
      <c r="H44" s="93">
        <f>VLOOKUP(10,$A$4:$AZ$32,8,FALSE)</f>
        <v>23616.87</v>
      </c>
      <c r="I44" s="93">
        <f>VLOOKUP(10,$A$4:$AZ$32,9,FALSE)</f>
        <v>23799.18</v>
      </c>
      <c r="J44" s="93">
        <f>VLOOKUP(10,$A$4:$AZ$32,10,FALSE)</f>
        <v>23830.08</v>
      </c>
      <c r="K44" s="93">
        <f>VLOOKUP(10,$A$4:$AZ$32,11,FALSE)</f>
        <v>23771.37</v>
      </c>
      <c r="L44" s="93">
        <f>VLOOKUP(10,$A$4:$AZ$32,12,FALSE)</f>
        <v>23865.615</v>
      </c>
      <c r="M44" s="93">
        <f>VLOOKUP(10,$A$4:$AZ$32,13,FALSE)</f>
        <v>23655.495</v>
      </c>
      <c r="N44" s="93">
        <f>VLOOKUP(10,$A$4:$AZ$32,14,FALSE)</f>
        <v>23562.795</v>
      </c>
      <c r="O44" s="93">
        <f>VLOOKUP(10,$A$4:$AZ$32,15,FALSE)</f>
        <v>22988.055</v>
      </c>
      <c r="P44" s="93">
        <f>VLOOKUP(10,$A$4:$AZ$32,16,FALSE)</f>
        <v>22918.53</v>
      </c>
      <c r="Q44" s="93">
        <f>VLOOKUP(10,$A$4:$AZ$32,17,FALSE)</f>
        <v>22867.545</v>
      </c>
      <c r="R44" s="93">
        <f>VLOOKUP(10,$A$4:$AZ$32,18,FALSE)</f>
        <v>22672.875</v>
      </c>
      <c r="S44" s="93">
        <f>VLOOKUP(10,$A$4:$AZ$32,19,FALSE)</f>
        <v>22822.6853</v>
      </c>
      <c r="T44" s="93">
        <f>VLOOKUP(10,$A$4:$AZ$32,20,FALSE)</f>
        <v>22574.4966</v>
      </c>
      <c r="U44" s="93">
        <f>VLOOKUP(10,$A$4:$AZ$32,21,FALSE)</f>
        <v>22327.6479</v>
      </c>
      <c r="V44" s="93">
        <f>VLOOKUP(10,$A$4:$AZ$32,22,FALSE)</f>
        <v>22363.8589</v>
      </c>
      <c r="W44" s="93">
        <f>VLOOKUP(10,$A$4:$AZ$32,23,FALSE)</f>
        <v>22268.8209</v>
      </c>
      <c r="X44" s="93">
        <f>VLOOKUP(10,$A$4:$AZ$32,24,FALSE)</f>
        <v>22369.7222</v>
      </c>
    </row>
    <row r="45" spans="1:24" ht="12.75">
      <c r="A45">
        <v>11</v>
      </c>
      <c r="B45" s="78" t="s">
        <v>87</v>
      </c>
      <c r="C45" s="93">
        <f>VLOOKUP(11,$A$4:$AZ$32,3,FALSE)</f>
        <v>132375.396</v>
      </c>
      <c r="D45" s="93">
        <f>VLOOKUP(11,$A$4:$AZ$32,4,FALSE)</f>
        <v>135667.124</v>
      </c>
      <c r="E45" s="93">
        <f>VLOOKUP(11,$A$4:$AZ$32,5,FALSE)</f>
        <v>135818.016</v>
      </c>
      <c r="F45" s="93">
        <f>VLOOKUP(11,$A$4:$AZ$32,6,FALSE)</f>
        <v>136044.988</v>
      </c>
      <c r="G45" s="93">
        <f>VLOOKUP(11,$A$4:$AZ$32,7,FALSE)</f>
        <v>136370.864</v>
      </c>
      <c r="H45" s="93">
        <f>VLOOKUP(11,$A$4:$AZ$32,8,FALSE)</f>
        <v>137482.9</v>
      </c>
      <c r="I45" s="93">
        <f>VLOOKUP(11,$A$4:$AZ$32,9,FALSE)</f>
        <v>137905.144</v>
      </c>
      <c r="J45" s="93">
        <f>VLOOKUP(11,$A$4:$AZ$32,10,FALSE)</f>
        <v>138163.816</v>
      </c>
      <c r="K45" s="93">
        <f>VLOOKUP(11,$A$4:$AZ$32,11,FALSE)</f>
        <v>137777.076</v>
      </c>
      <c r="L45" s="93">
        <f>VLOOKUP(11,$A$4:$AZ$32,12,FALSE)</f>
        <v>137425.84</v>
      </c>
      <c r="M45" s="93">
        <f>VLOOKUP(11,$A$4:$AZ$32,13,FALSE)</f>
        <v>136968.092</v>
      </c>
      <c r="N45" s="93">
        <f>VLOOKUP(11,$A$4:$AZ$32,14,FALSE)</f>
        <v>136900.888</v>
      </c>
      <c r="O45" s="93">
        <f>VLOOKUP(11,$A$4:$AZ$32,15,FALSE)</f>
        <v>135291.796</v>
      </c>
      <c r="P45" s="93">
        <f>VLOOKUP(11,$A$4:$AZ$32,16,FALSE)</f>
        <v>134916.468</v>
      </c>
      <c r="Q45" s="93">
        <f>VLOOKUP(11,$A$4:$AZ$32,17,FALSE)</f>
        <v>134037.468</v>
      </c>
      <c r="R45" s="93">
        <f>VLOOKUP(11,$A$4:$AZ$32,18,FALSE)</f>
        <v>133145.224</v>
      </c>
      <c r="S45" s="93">
        <f>VLOOKUP(11,$A$4:$AZ$32,19,FALSE)</f>
        <v>132941.808</v>
      </c>
      <c r="T45" s="93">
        <f>VLOOKUP(11,$A$4:$AZ$32,20,FALSE)</f>
        <v>131239.748</v>
      </c>
      <c r="U45" s="93">
        <f>VLOOKUP(11,$A$4:$AZ$32,21,FALSE)</f>
        <v>131098.266</v>
      </c>
      <c r="V45" s="93">
        <f>VLOOKUP(11,$A$4:$AZ$32,22,FALSE)</f>
        <v>129090.93</v>
      </c>
      <c r="W45" s="93">
        <f>VLOOKUP(11,$A$4:$AZ$32,23,FALSE)</f>
        <v>126234.288</v>
      </c>
      <c r="X45" s="93">
        <f>VLOOKUP(11,$A$4:$AZ$32,24,FALSE)</f>
        <v>124428.1725</v>
      </c>
    </row>
    <row r="46" spans="1:24" ht="12.75">
      <c r="A46">
        <v>12</v>
      </c>
      <c r="B46" s="78" t="s">
        <v>88</v>
      </c>
      <c r="C46" s="93">
        <f>VLOOKUP(12,$A$4:$AZ$32,3,FALSE)</f>
        <v>85231.5475</v>
      </c>
      <c r="D46" s="93">
        <f>VLOOKUP(12,$A$4:$AZ$32,4,FALSE)</f>
        <v>86764.37</v>
      </c>
      <c r="E46" s="93">
        <f>VLOOKUP(12,$A$4:$AZ$32,5,FALSE)</f>
        <v>89047.0625</v>
      </c>
      <c r="F46" s="93">
        <f>VLOOKUP(12,$A$4:$AZ$32,6,FALSE)</f>
        <v>90921.7375</v>
      </c>
      <c r="G46" s="93">
        <f>VLOOKUP(12,$A$4:$AZ$32,7,FALSE)</f>
        <v>92315.6135</v>
      </c>
      <c r="H46" s="93">
        <f>VLOOKUP(12,$A$4:$AZ$32,8,FALSE)</f>
        <v>93277.2115</v>
      </c>
      <c r="I46" s="93">
        <f>VLOOKUP(12,$A$4:$AZ$32,9,FALSE)</f>
        <v>93689.64</v>
      </c>
      <c r="J46" s="93">
        <f>VLOOKUP(12,$A$4:$AZ$32,10,FALSE)</f>
        <v>94404.222</v>
      </c>
      <c r="K46" s="93">
        <f>VLOOKUP(12,$A$4:$AZ$32,11,FALSE)</f>
        <v>93965.3275</v>
      </c>
      <c r="L46" s="93">
        <f>VLOOKUP(12,$A$4:$AZ$32,12,FALSE)</f>
        <v>94690.937</v>
      </c>
      <c r="M46" s="93">
        <f>VLOOKUP(12,$A$4:$AZ$32,13,FALSE)</f>
        <v>94653.4435</v>
      </c>
      <c r="N46" s="93">
        <f>VLOOKUP(12,$A$4:$AZ$32,14,FALSE)</f>
        <v>94629.183</v>
      </c>
      <c r="O46" s="93">
        <f>VLOOKUP(12,$A$4:$AZ$32,15,FALSE)</f>
        <v>93094.155</v>
      </c>
      <c r="P46" s="93">
        <f>VLOOKUP(12,$A$4:$AZ$32,16,FALSE)</f>
        <v>93603.6255</v>
      </c>
      <c r="Q46" s="93">
        <f>VLOOKUP(12,$A$4:$AZ$32,17,FALSE)</f>
        <v>91578.6475</v>
      </c>
      <c r="R46" s="93">
        <f>VLOOKUP(12,$A$4:$AZ$32,18,FALSE)</f>
        <v>90374.36</v>
      </c>
      <c r="S46" s="93">
        <f>VLOOKUP(12,$A$4:$AZ$32,19,FALSE)</f>
        <v>89179.2015</v>
      </c>
      <c r="T46" s="93">
        <f>VLOOKUP(12,$A$4:$AZ$32,20,FALSE)</f>
        <v>88378.6335</v>
      </c>
      <c r="U46" s="93">
        <f>VLOOKUP(12,$A$4:$AZ$32,21,FALSE)</f>
        <v>88938.921</v>
      </c>
      <c r="V46" s="93">
        <f>VLOOKUP(12,$A$4:$AZ$32,22,FALSE)</f>
        <v>88364.0122</v>
      </c>
      <c r="W46" s="93">
        <f>VLOOKUP(12,$A$4:$AZ$32,23,FALSE)</f>
        <v>87390.6354</v>
      </c>
      <c r="X46" s="93">
        <f>VLOOKUP(12,$A$4:$AZ$32,24,FALSE)</f>
        <v>86573.9084</v>
      </c>
    </row>
    <row r="47" spans="1:24" ht="12.75">
      <c r="A47">
        <v>13</v>
      </c>
      <c r="B47" s="78" t="s">
        <v>89</v>
      </c>
      <c r="C47" s="93">
        <f>VLOOKUP(13,$A$4:$AZ$32,3,FALSE)</f>
        <v>98361.4365</v>
      </c>
      <c r="D47" s="93">
        <f>VLOOKUP(13,$A$4:$AZ$32,4,FALSE)</f>
        <v>98787.7665</v>
      </c>
      <c r="E47" s="93">
        <f>VLOOKUP(13,$A$4:$AZ$32,5,FALSE)</f>
        <v>98055.9</v>
      </c>
      <c r="F47" s="93">
        <f>VLOOKUP(13,$A$4:$AZ$32,6,FALSE)</f>
        <v>97717.2045</v>
      </c>
      <c r="G47" s="93">
        <f>VLOOKUP(13,$A$4:$AZ$32,7,FALSE)</f>
        <v>97165.344</v>
      </c>
      <c r="H47" s="93">
        <f>VLOOKUP(13,$A$4:$AZ$32,8,FALSE)</f>
        <v>96900.072</v>
      </c>
      <c r="I47" s="93">
        <f>VLOOKUP(13,$A$4:$AZ$32,9,FALSE)</f>
        <v>97120.3425</v>
      </c>
      <c r="J47" s="93">
        <f>VLOOKUP(13,$A$4:$AZ$32,10,FALSE)</f>
        <v>97416.405</v>
      </c>
      <c r="K47" s="93">
        <f>VLOOKUP(13,$A$4:$AZ$32,11,FALSE)</f>
        <v>96890.598</v>
      </c>
      <c r="L47" s="93">
        <f>VLOOKUP(13,$A$4:$AZ$32,12,FALSE)</f>
        <v>97207.977</v>
      </c>
      <c r="M47" s="93">
        <f>VLOOKUP(13,$A$4:$AZ$32,13,FALSE)</f>
        <v>97977.7395</v>
      </c>
      <c r="N47" s="93">
        <f>VLOOKUP(13,$A$4:$AZ$32,14,FALSE)</f>
        <v>97435.353</v>
      </c>
      <c r="O47" s="93">
        <f>VLOOKUP(13,$A$4:$AZ$32,15,FALSE)</f>
        <v>96987.7065</v>
      </c>
      <c r="P47" s="93">
        <f>VLOOKUP(13,$A$4:$AZ$32,16,FALSE)</f>
        <v>96945.0735</v>
      </c>
      <c r="Q47" s="93">
        <f>VLOOKUP(13,$A$4:$AZ$32,17,FALSE)</f>
        <v>96104.0535</v>
      </c>
      <c r="R47" s="93">
        <f>VLOOKUP(13,$A$4:$AZ$32,18,FALSE)</f>
        <v>95732.9445</v>
      </c>
      <c r="S47" s="93">
        <f>VLOOKUP(13,$A$4:$AZ$32,19,FALSE)</f>
        <v>94963.0385</v>
      </c>
      <c r="T47" s="93">
        <f>VLOOKUP(13,$A$4:$AZ$32,20,FALSE)</f>
        <v>93905.4265</v>
      </c>
      <c r="U47" s="93">
        <f>VLOOKUP(13,$A$4:$AZ$32,21,FALSE)</f>
        <v>93588.743</v>
      </c>
      <c r="V47" s="93">
        <f>VLOOKUP(13,$A$4:$AZ$32,22,FALSE)</f>
        <v>91824.8425</v>
      </c>
      <c r="W47" s="93">
        <f>VLOOKUP(13,$A$4:$AZ$32,23,FALSE)</f>
        <v>91369.9554</v>
      </c>
      <c r="X47" s="93">
        <f>VLOOKUP(13,$A$4:$AZ$32,24,FALSE)</f>
        <v>91135.2478</v>
      </c>
    </row>
    <row r="48" spans="1:24" ht="12.75">
      <c r="A48">
        <v>14</v>
      </c>
      <c r="B48" s="78" t="s">
        <v>90</v>
      </c>
      <c r="C48" s="93">
        <f>VLOOKUP(14,$A$4:$AZ$32,3,FALSE)</f>
        <v>4900.4265</v>
      </c>
      <c r="D48" s="93">
        <f>VLOOKUP(14,$A$4:$AZ$32,4,FALSE)</f>
        <v>5478.3405</v>
      </c>
      <c r="E48" s="93">
        <f>VLOOKUP(14,$A$4:$AZ$32,5,FALSE)</f>
        <v>5461.761</v>
      </c>
      <c r="F48" s="93">
        <f>VLOOKUP(14,$A$4:$AZ$32,6,FALSE)</f>
        <v>5774.403</v>
      </c>
      <c r="G48" s="93">
        <f>VLOOKUP(14,$A$4:$AZ$32,7,FALSE)</f>
        <v>6198.3645</v>
      </c>
      <c r="H48" s="93">
        <f>VLOOKUP(14,$A$4:$AZ$32,8,FALSE)</f>
        <v>6323.895</v>
      </c>
      <c r="I48" s="93">
        <f>VLOOKUP(14,$A$4:$AZ$32,9,FALSE)</f>
        <v>6513.375</v>
      </c>
      <c r="J48" s="93">
        <f>VLOOKUP(14,$A$4:$AZ$32,10,FALSE)</f>
        <v>6733.6455</v>
      </c>
      <c r="K48" s="93">
        <f>VLOOKUP(14,$A$4:$AZ$32,11,FALSE)</f>
        <v>6889.9665</v>
      </c>
      <c r="L48" s="93">
        <f>VLOOKUP(14,$A$4:$AZ$32,12,FALSE)</f>
        <v>6795.2265</v>
      </c>
      <c r="M48" s="93">
        <f>VLOOKUP(14,$A$4:$AZ$32,13,FALSE)</f>
        <v>6823.6485</v>
      </c>
      <c r="N48" s="93">
        <f>VLOOKUP(14,$A$4:$AZ$32,14,FALSE)</f>
        <v>6541.797</v>
      </c>
      <c r="O48" s="93">
        <f>VLOOKUP(14,$A$4:$AZ$32,15,FALSE)</f>
        <v>6210.207</v>
      </c>
      <c r="P48" s="93">
        <f>VLOOKUP(14,$A$4:$AZ$32,16,FALSE)</f>
        <v>5897.565</v>
      </c>
      <c r="Q48" s="93">
        <f>VLOOKUP(14,$A$4:$AZ$32,17,FALSE)</f>
        <v>6075.6855</v>
      </c>
      <c r="R48" s="93">
        <f>VLOOKUP(14,$A$4:$AZ$32,18,FALSE)</f>
        <v>5864.421</v>
      </c>
      <c r="S48" s="93">
        <f>VLOOKUP(14,$A$4:$AZ$32,19,FALSE)</f>
        <v>5684.371</v>
      </c>
      <c r="T48" s="93">
        <f>VLOOKUP(14,$A$4:$AZ$32,20,FALSE)</f>
        <v>5663.589</v>
      </c>
      <c r="U48" s="93">
        <f>VLOOKUP(14,$A$4:$AZ$32,21,FALSE)</f>
        <v>6018.8775</v>
      </c>
      <c r="V48" s="93">
        <f>VLOOKUP(14,$A$4:$AZ$32,22,FALSE)</f>
        <v>6058.153</v>
      </c>
      <c r="W48" s="93">
        <f>VLOOKUP(14,$A$4:$AZ$32,23,FALSE)</f>
        <v>6319.857</v>
      </c>
      <c r="X48" s="93">
        <f>VLOOKUP(14,$A$4:$AZ$32,24,FALSE)</f>
        <v>7177.5355</v>
      </c>
    </row>
    <row r="49" spans="1:24" ht="12.75">
      <c r="A49">
        <v>15</v>
      </c>
      <c r="B49" s="78" t="s">
        <v>91</v>
      </c>
      <c r="C49" s="93">
        <f>VLOOKUP(15,$A$4:$AZ$32,3,FALSE)</f>
        <v>0</v>
      </c>
      <c r="D49" s="93">
        <f>VLOOKUP(15,$A$4:$AZ$32,4,FALSE)</f>
        <v>0</v>
      </c>
      <c r="E49" s="93">
        <f>VLOOKUP(15,$A$4:$AZ$32,5,FALSE)</f>
        <v>0</v>
      </c>
      <c r="F49" s="93">
        <f>VLOOKUP(15,$A$4:$AZ$32,6,FALSE)</f>
        <v>0</v>
      </c>
      <c r="G49" s="93">
        <f>VLOOKUP(15,$A$4:$AZ$32,7,FALSE)</f>
        <v>0</v>
      </c>
      <c r="H49" s="93">
        <f>VLOOKUP(15,$A$4:$AZ$32,8,FALSE)</f>
        <v>0</v>
      </c>
      <c r="I49" s="93">
        <f>VLOOKUP(15,$A$4:$AZ$32,9,FALSE)</f>
        <v>0</v>
      </c>
      <c r="J49" s="93">
        <f>VLOOKUP(15,$A$4:$AZ$32,10,FALSE)</f>
        <v>0</v>
      </c>
      <c r="K49" s="93">
        <f>VLOOKUP(15,$A$4:$AZ$32,11,FALSE)</f>
        <v>0</v>
      </c>
      <c r="L49" s="93">
        <f>VLOOKUP(15,$A$4:$AZ$32,12,FALSE)</f>
        <v>0</v>
      </c>
      <c r="M49" s="93">
        <f>VLOOKUP(15,$A$4:$AZ$32,13,FALSE)</f>
        <v>489.6765</v>
      </c>
      <c r="N49" s="93">
        <f>VLOOKUP(15,$A$4:$AZ$32,14,FALSE)</f>
        <v>1620.933</v>
      </c>
      <c r="O49" s="93">
        <f>VLOOKUP(15,$A$4:$AZ$32,15,FALSE)</f>
        <v>3039.0135</v>
      </c>
      <c r="P49" s="93">
        <f>VLOOKUP(15,$A$4:$AZ$32,16,FALSE)</f>
        <v>5113.77</v>
      </c>
      <c r="Q49" s="93">
        <f>VLOOKUP(15,$A$4:$AZ$32,17,FALSE)</f>
        <v>7389.492</v>
      </c>
      <c r="R49" s="93">
        <f>VLOOKUP(15,$A$4:$AZ$32,18,FALSE)</f>
        <v>9622.6761</v>
      </c>
      <c r="S49" s="93">
        <f>VLOOKUP(15,$A$4:$AZ$32,19,FALSE)</f>
        <v>11922.8487</v>
      </c>
      <c r="T49" s="93">
        <f>VLOOKUP(15,$A$4:$AZ$32,20,FALSE)</f>
        <v>14397.9425</v>
      </c>
      <c r="U49" s="93">
        <f>VLOOKUP(15,$A$4:$AZ$32,21,FALSE)</f>
        <v>17532.0132</v>
      </c>
      <c r="V49" s="93">
        <f>VLOOKUP(15,$A$4:$AZ$32,22,FALSE)</f>
        <v>20988.6805</v>
      </c>
      <c r="W49" s="93">
        <f>VLOOKUP(15,$A$4:$AZ$32,23,FALSE)</f>
        <v>24011.7468</v>
      </c>
      <c r="X49" s="93">
        <f>VLOOKUP(15,$A$4:$AZ$32,24,FALSE)</f>
        <v>27715.566</v>
      </c>
    </row>
    <row r="50" spans="1:24" ht="12.75">
      <c r="A50">
        <v>16</v>
      </c>
      <c r="B50" s="78" t="s">
        <v>92</v>
      </c>
      <c r="C50" s="93">
        <f>VLOOKUP(16,$A$4:$AZ$32,3,FALSE)</f>
        <v>36137.925</v>
      </c>
      <c r="D50" s="93">
        <f>VLOOKUP(16,$A$4:$AZ$32,4,FALSE)</f>
        <v>39265.8525</v>
      </c>
      <c r="E50" s="93">
        <f>VLOOKUP(16,$A$4:$AZ$32,5,FALSE)</f>
        <v>41078.925</v>
      </c>
      <c r="F50" s="93">
        <f>VLOOKUP(16,$A$4:$AZ$32,6,FALSE)</f>
        <v>42083.595</v>
      </c>
      <c r="G50" s="93">
        <f>VLOOKUP(16,$A$4:$AZ$32,7,FALSE)</f>
        <v>44279.595</v>
      </c>
      <c r="H50" s="93">
        <f>VLOOKUP(16,$A$4:$AZ$32,8,FALSE)</f>
        <v>45761.895</v>
      </c>
      <c r="I50" s="93">
        <f>VLOOKUP(16,$A$4:$AZ$32,9,FALSE)</f>
        <v>47830.2525</v>
      </c>
      <c r="J50" s="93">
        <f>VLOOKUP(16,$A$4:$AZ$32,10,FALSE)</f>
        <v>49560.975</v>
      </c>
      <c r="K50" s="93">
        <f>VLOOKUP(16,$A$4:$AZ$32,11,FALSE)</f>
        <v>52080.885</v>
      </c>
      <c r="L50" s="93">
        <f>VLOOKUP(16,$A$4:$AZ$32,12,FALSE)</f>
        <v>54385.3125</v>
      </c>
      <c r="M50" s="93">
        <f>VLOOKUP(16,$A$4:$AZ$32,13,FALSE)</f>
        <v>56991.69</v>
      </c>
      <c r="N50" s="93">
        <f>VLOOKUP(16,$A$4:$AZ$32,14,FALSE)</f>
        <v>59581.5975</v>
      </c>
      <c r="O50" s="93">
        <f>VLOOKUP(16,$A$4:$AZ$32,15,FALSE)</f>
        <v>61180.56</v>
      </c>
      <c r="P50" s="93">
        <f>VLOOKUP(16,$A$4:$AZ$32,16,FALSE)</f>
        <v>62651.88</v>
      </c>
      <c r="Q50" s="93">
        <f>VLOOKUP(16,$A$4:$AZ$32,17,FALSE)</f>
        <v>64146.5325</v>
      </c>
      <c r="R50" s="93">
        <f>VLOOKUP(16,$A$4:$AZ$32,18,FALSE)</f>
        <v>65399.625</v>
      </c>
      <c r="S50" s="93">
        <f>VLOOKUP(16,$A$4:$AZ$32,19,FALSE)</f>
        <v>66501.7425</v>
      </c>
      <c r="T50" s="93">
        <f>VLOOKUP(16,$A$4:$AZ$32,20,FALSE)</f>
        <v>67742.4825</v>
      </c>
      <c r="U50" s="93">
        <f>VLOOKUP(16,$A$4:$AZ$32,21,FALSE)</f>
        <v>69253.605</v>
      </c>
      <c r="V50" s="93">
        <f>VLOOKUP(16,$A$4:$AZ$32,22,FALSE)</f>
        <v>69915.15</v>
      </c>
      <c r="W50" s="93">
        <f>VLOOKUP(16,$A$4:$AZ$32,23,FALSE)</f>
        <v>70512.1875</v>
      </c>
      <c r="X50" s="93">
        <f>VLOOKUP(16,$A$4:$AZ$32,24,FALSE)</f>
        <v>71709.0075</v>
      </c>
    </row>
    <row r="51" spans="1:24" ht="12.75">
      <c r="A51">
        <v>17</v>
      </c>
      <c r="B51" s="78" t="s">
        <v>93</v>
      </c>
      <c r="C51" s="93">
        <f>VLOOKUP(17,$A$4:$AZ$32,3,FALSE)</f>
        <v>6221.073</v>
      </c>
      <c r="D51" s="93">
        <f>VLOOKUP(17,$A$4:$AZ$32,4,FALSE)</f>
        <v>6853.338</v>
      </c>
      <c r="E51" s="93">
        <f>VLOOKUP(17,$A$4:$AZ$32,5,FALSE)</f>
        <v>7232.697</v>
      </c>
      <c r="F51" s="93">
        <f>VLOOKUP(17,$A$4:$AZ$32,6,FALSE)</f>
        <v>7479.384</v>
      </c>
      <c r="G51" s="93">
        <f>VLOOKUP(17,$A$4:$AZ$32,7,FALSE)</f>
        <v>7844.232</v>
      </c>
      <c r="H51" s="93">
        <f>VLOOKUP(17,$A$4:$AZ$32,8,FALSE)</f>
        <v>8153.109</v>
      </c>
      <c r="I51" s="93">
        <f>VLOOKUP(17,$A$4:$AZ$32,9,FALSE)</f>
        <v>8213.226</v>
      </c>
      <c r="J51" s="93">
        <f>VLOOKUP(17,$A$4:$AZ$32,10,FALSE)</f>
        <v>8497.227</v>
      </c>
      <c r="K51" s="93">
        <f>VLOOKUP(17,$A$4:$AZ$32,11,FALSE)</f>
        <v>8830.98</v>
      </c>
      <c r="L51" s="93">
        <f>VLOOKUP(17,$A$4:$AZ$32,12,FALSE)</f>
        <v>9282.894</v>
      </c>
      <c r="M51" s="93">
        <f>VLOOKUP(17,$A$4:$AZ$32,13,FALSE)</f>
        <v>9459.099</v>
      </c>
      <c r="N51" s="93">
        <f>VLOOKUP(17,$A$4:$AZ$32,14,FALSE)</f>
        <v>9670.545</v>
      </c>
      <c r="O51" s="93">
        <f>VLOOKUP(17,$A$4:$AZ$32,15,FALSE)</f>
        <v>9765.903</v>
      </c>
      <c r="P51" s="93">
        <f>VLOOKUP(17,$A$4:$AZ$32,16,FALSE)</f>
        <v>10213.671</v>
      </c>
      <c r="Q51" s="93">
        <f>VLOOKUP(17,$A$4:$AZ$32,17,FALSE)</f>
        <v>10377.438</v>
      </c>
      <c r="R51" s="93">
        <f>VLOOKUP(17,$A$4:$AZ$32,18,FALSE)</f>
        <v>10800.33</v>
      </c>
      <c r="S51" s="93">
        <f>VLOOKUP(17,$A$4:$AZ$32,19,FALSE)</f>
        <v>11403.573</v>
      </c>
      <c r="T51" s="93">
        <f>VLOOKUP(17,$A$4:$AZ$32,20,FALSE)</f>
        <v>11436.741</v>
      </c>
      <c r="U51" s="93">
        <f>VLOOKUP(17,$A$4:$AZ$32,21,FALSE)</f>
        <v>12346.788</v>
      </c>
      <c r="V51" s="93">
        <f>VLOOKUP(17,$A$4:$AZ$32,22,FALSE)</f>
        <v>12280.452</v>
      </c>
      <c r="W51" s="93">
        <f>VLOOKUP(17,$A$4:$AZ$32,23,FALSE)</f>
        <v>12319.839</v>
      </c>
      <c r="X51" s="93">
        <f>VLOOKUP(17,$A$4:$AZ$32,24,FALSE)</f>
        <v>12647.373</v>
      </c>
    </row>
    <row r="52" spans="1:24" ht="12.75">
      <c r="A52">
        <v>18</v>
      </c>
      <c r="B52" s="78" t="s">
        <v>94</v>
      </c>
      <c r="C52" s="93">
        <f>VLOOKUP(18,$A$4:$AZ$32,3,FALSE)</f>
        <v>3487.003</v>
      </c>
      <c r="D52" s="93">
        <f>VLOOKUP(18,$A$4:$AZ$32,4,FALSE)</f>
        <v>5456.0545</v>
      </c>
      <c r="E52" s="93">
        <f>VLOOKUP(18,$A$4:$AZ$32,5,FALSE)</f>
        <v>8385.949</v>
      </c>
      <c r="F52" s="93">
        <f>VLOOKUP(18,$A$4:$AZ$32,6,FALSE)</f>
        <v>11004.5845</v>
      </c>
      <c r="G52" s="93">
        <f>VLOOKUP(18,$A$4:$AZ$32,7,FALSE)</f>
        <v>14297.6145</v>
      </c>
      <c r="H52" s="93">
        <f>VLOOKUP(18,$A$4:$AZ$32,8,FALSE)</f>
        <v>18546.9765</v>
      </c>
      <c r="I52" s="93">
        <f>VLOOKUP(18,$A$4:$AZ$32,9,FALSE)</f>
        <v>22913.6245</v>
      </c>
      <c r="J52" s="93">
        <f>VLOOKUP(18,$A$4:$AZ$32,10,FALSE)</f>
        <v>27160.731</v>
      </c>
      <c r="K52" s="93">
        <f>VLOOKUP(18,$A$4:$AZ$32,11,FALSE)</f>
        <v>32271.694</v>
      </c>
      <c r="L52" s="93">
        <f>VLOOKUP(18,$A$4:$AZ$32,12,FALSE)</f>
        <v>37569.8635</v>
      </c>
      <c r="M52" s="93">
        <f>VLOOKUP(18,$A$4:$AZ$32,13,FALSE)</f>
        <v>43192.825</v>
      </c>
      <c r="N52" s="93">
        <f>VLOOKUP(18,$A$4:$AZ$32,14,FALSE)</f>
        <v>48457.162</v>
      </c>
      <c r="O52" s="93">
        <f>VLOOKUP(18,$A$4:$AZ$32,15,FALSE)</f>
        <v>51849.434</v>
      </c>
      <c r="P52" s="93">
        <f>VLOOKUP(18,$A$4:$AZ$32,16,FALSE)</f>
        <v>56083.0075</v>
      </c>
      <c r="Q52" s="93">
        <f>VLOOKUP(18,$A$4:$AZ$32,17,FALSE)</f>
        <v>59416.6365</v>
      </c>
      <c r="R52" s="93">
        <f>VLOOKUP(18,$A$4:$AZ$32,18,FALSE)</f>
        <v>62761.543</v>
      </c>
      <c r="S52" s="93">
        <f>VLOOKUP(18,$A$4:$AZ$32,19,FALSE)</f>
        <v>65441.077</v>
      </c>
      <c r="T52" s="93">
        <f>VLOOKUP(18,$A$4:$AZ$32,20,FALSE)</f>
        <v>66999.6275</v>
      </c>
      <c r="U52" s="93">
        <f>VLOOKUP(18,$A$4:$AZ$32,21,FALSE)</f>
        <v>69848.324</v>
      </c>
      <c r="V52" s="93">
        <f>VLOOKUP(18,$A$4:$AZ$32,22,FALSE)</f>
        <v>72397.039</v>
      </c>
      <c r="W52" s="93">
        <f>VLOOKUP(18,$A$4:$AZ$32,23,FALSE)</f>
        <v>72843.628</v>
      </c>
      <c r="X52" s="93">
        <f>VLOOKUP(18,$A$4:$AZ$32,24,FALSE)</f>
        <v>74332.258</v>
      </c>
    </row>
    <row r="53" spans="1:24" ht="12.75">
      <c r="A53">
        <v>19</v>
      </c>
      <c r="B53" s="78" t="s">
        <v>95</v>
      </c>
      <c r="C53" s="93">
        <f>VLOOKUP(19,$A$4:$AZ$32,3,FALSE)</f>
        <v>0</v>
      </c>
      <c r="D53" s="93">
        <f>VLOOKUP(19,$A$4:$AZ$32,4,FALSE)</f>
        <v>0</v>
      </c>
      <c r="E53" s="93">
        <f>VLOOKUP(19,$A$4:$AZ$32,5,FALSE)</f>
        <v>0</v>
      </c>
      <c r="F53" s="93">
        <f>VLOOKUP(19,$A$4:$AZ$32,6,FALSE)</f>
        <v>0</v>
      </c>
      <c r="G53" s="93">
        <f>VLOOKUP(19,$A$4:$AZ$32,7,FALSE)</f>
        <v>0</v>
      </c>
      <c r="H53" s="93">
        <f>VLOOKUP(19,$A$4:$AZ$32,8,FALSE)</f>
        <v>0</v>
      </c>
      <c r="I53" s="93">
        <f>VLOOKUP(19,$A$4:$AZ$32,9,FALSE)</f>
        <v>0</v>
      </c>
      <c r="J53" s="93">
        <f>VLOOKUP(19,$A$4:$AZ$32,10,FALSE)</f>
        <v>0</v>
      </c>
      <c r="K53" s="93">
        <f>VLOOKUP(19,$A$4:$AZ$32,11,FALSE)</f>
        <v>0</v>
      </c>
      <c r="L53" s="93">
        <f>VLOOKUP(19,$A$4:$AZ$32,12,FALSE)</f>
        <v>121.48</v>
      </c>
      <c r="M53" s="93">
        <f>VLOOKUP(19,$A$4:$AZ$32,13,FALSE)</f>
        <v>604.363</v>
      </c>
      <c r="N53" s="93">
        <f>VLOOKUP(19,$A$4:$AZ$32,14,FALSE)</f>
        <v>1907.236</v>
      </c>
      <c r="O53" s="93">
        <f>VLOOKUP(19,$A$4:$AZ$32,15,FALSE)</f>
        <v>3213.146</v>
      </c>
      <c r="P53" s="93">
        <f>VLOOKUP(19,$A$4:$AZ$32,16,FALSE)</f>
        <v>4847.052</v>
      </c>
      <c r="Q53" s="93">
        <f>VLOOKUP(19,$A$4:$AZ$32,17,FALSE)</f>
        <v>6739.103</v>
      </c>
      <c r="R53" s="93">
        <f>VLOOKUP(19,$A$4:$AZ$32,18,FALSE)</f>
        <v>8831.596</v>
      </c>
      <c r="S53" s="93">
        <f>VLOOKUP(19,$A$4:$AZ$32,19,FALSE)</f>
        <v>10887.645</v>
      </c>
      <c r="T53" s="93">
        <f>VLOOKUP(19,$A$4:$AZ$32,20,FALSE)</f>
        <v>13016.582</v>
      </c>
      <c r="U53" s="93">
        <f>VLOOKUP(19,$A$4:$AZ$32,21,FALSE)</f>
        <v>15315.591</v>
      </c>
      <c r="V53" s="93">
        <f>VLOOKUP(19,$A$4:$AZ$32,22,FALSE)</f>
        <v>17389.862</v>
      </c>
      <c r="W53" s="93">
        <f>VLOOKUP(19,$A$4:$AZ$32,23,FALSE)</f>
        <v>19445.911</v>
      </c>
      <c r="X53" s="93">
        <f>VLOOKUP(19,$A$4:$AZ$32,24,FALSE)</f>
        <v>22385.727</v>
      </c>
    </row>
    <row r="54" spans="1:24" ht="12.75">
      <c r="A54">
        <v>20</v>
      </c>
      <c r="B54" s="78" t="s">
        <v>96</v>
      </c>
      <c r="C54" s="93">
        <f>VLOOKUP(20,$A$4:$AZ$32,3,FALSE)</f>
        <v>0</v>
      </c>
      <c r="D54" s="93">
        <f>VLOOKUP(20,$A$4:$AZ$32,4,FALSE)</f>
        <v>0</v>
      </c>
      <c r="E54" s="93">
        <f>VLOOKUP(20,$A$4:$AZ$32,5,FALSE)</f>
        <v>0</v>
      </c>
      <c r="F54" s="93">
        <f>VLOOKUP(20,$A$4:$AZ$32,6,FALSE)</f>
        <v>0</v>
      </c>
      <c r="G54" s="93">
        <f>VLOOKUP(20,$A$4:$AZ$32,7,FALSE)</f>
        <v>0</v>
      </c>
      <c r="H54" s="93">
        <f>VLOOKUP(20,$A$4:$AZ$32,8,FALSE)</f>
        <v>0</v>
      </c>
      <c r="I54" s="93">
        <f>VLOOKUP(20,$A$4:$AZ$32,9,FALSE)</f>
        <v>0</v>
      </c>
      <c r="J54" s="93">
        <f>VLOOKUP(20,$A$4:$AZ$32,10,FALSE)</f>
        <v>0</v>
      </c>
      <c r="K54" s="93">
        <f>VLOOKUP(20,$A$4:$AZ$32,11,FALSE)</f>
        <v>0</v>
      </c>
      <c r="L54" s="93">
        <f>VLOOKUP(20,$A$4:$AZ$32,12,FALSE)</f>
        <v>0</v>
      </c>
      <c r="M54" s="93">
        <f>VLOOKUP(20,$A$4:$AZ$32,13,FALSE)</f>
        <v>472.416</v>
      </c>
      <c r="N54" s="93">
        <f>VLOOKUP(20,$A$4:$AZ$32,14,FALSE)</f>
        <v>1037.184</v>
      </c>
      <c r="O54" s="93">
        <f>VLOOKUP(20,$A$4:$AZ$32,15,FALSE)</f>
        <v>1552.224</v>
      </c>
      <c r="P54" s="93">
        <f>VLOOKUP(20,$A$4:$AZ$32,16,FALSE)</f>
        <v>2937.504</v>
      </c>
      <c r="Q54" s="93">
        <f>VLOOKUP(20,$A$4:$AZ$32,17,FALSE)</f>
        <v>4159.392</v>
      </c>
      <c r="R54" s="93">
        <f>VLOOKUP(20,$A$4:$AZ$32,18,FALSE)</f>
        <v>5757.792</v>
      </c>
      <c r="S54" s="93">
        <f>VLOOKUP(20,$A$4:$AZ$32,19,FALSE)</f>
        <v>7523.136</v>
      </c>
      <c r="T54" s="93">
        <f>VLOOKUP(20,$A$4:$AZ$32,20,FALSE)</f>
        <v>9451.872</v>
      </c>
      <c r="U54" s="93">
        <f>VLOOKUP(20,$A$4:$AZ$32,21,FALSE)</f>
        <v>12250.848</v>
      </c>
      <c r="V54" s="93">
        <f>VLOOKUP(20,$A$4:$AZ$32,22,FALSE)</f>
        <v>14250.624</v>
      </c>
      <c r="W54" s="93">
        <f>VLOOKUP(20,$A$4:$AZ$32,23,FALSE)</f>
        <v>15987.552</v>
      </c>
      <c r="X54" s="93">
        <f>VLOOKUP(20,$A$4:$AZ$32,24,FALSE)</f>
        <v>18193.344</v>
      </c>
    </row>
    <row r="55" spans="1:24" ht="12.75">
      <c r="A55">
        <v>21</v>
      </c>
      <c r="B55" s="78" t="s">
        <v>97</v>
      </c>
      <c r="C55" s="93">
        <f>VLOOKUP(21,$A$4:$AZ$32,3,FALSE)</f>
        <v>1043.8</v>
      </c>
      <c r="D55" s="93">
        <f>VLOOKUP(21,$A$4:$AZ$32,4,FALSE)</f>
        <v>1156.776</v>
      </c>
      <c r="E55" s="93">
        <f>VLOOKUP(21,$A$4:$AZ$32,5,FALSE)</f>
        <v>1173.968</v>
      </c>
      <c r="F55" s="93">
        <f>VLOOKUP(21,$A$4:$AZ$32,6,FALSE)</f>
        <v>1223.088</v>
      </c>
      <c r="G55" s="93">
        <f>VLOOKUP(21,$A$4:$AZ$32,7,FALSE)</f>
        <v>1313.346</v>
      </c>
      <c r="H55" s="93">
        <f>VLOOKUP(21,$A$4:$AZ$32,8,FALSE)</f>
        <v>1410.972</v>
      </c>
      <c r="I55" s="93">
        <f>VLOOKUP(21,$A$4:$AZ$32,9,FALSE)</f>
        <v>1432.462</v>
      </c>
      <c r="J55" s="93">
        <f>VLOOKUP(21,$A$4:$AZ$32,10,FALSE)</f>
        <v>1425.094</v>
      </c>
      <c r="K55" s="93">
        <f>VLOOKUP(21,$A$4:$AZ$32,11,FALSE)</f>
        <v>1465.618</v>
      </c>
      <c r="L55" s="93">
        <f>VLOOKUP(21,$A$4:$AZ$32,12,FALSE)</f>
        <v>1506.142</v>
      </c>
      <c r="M55" s="93">
        <f>VLOOKUP(21,$A$4:$AZ$32,13,FALSE)</f>
        <v>1558.946</v>
      </c>
      <c r="N55" s="93">
        <f>VLOOKUP(21,$A$4:$AZ$32,14,FALSE)</f>
        <v>1534.386</v>
      </c>
      <c r="O55" s="93">
        <f>VLOOKUP(21,$A$4:$AZ$32,15,FALSE)</f>
        <v>1550.964</v>
      </c>
      <c r="P55" s="93">
        <f>VLOOKUP(21,$A$4:$AZ$32,16,FALSE)</f>
        <v>1522.72</v>
      </c>
      <c r="Q55" s="93">
        <f>VLOOKUP(21,$A$4:$AZ$32,17,FALSE)</f>
        <v>1550.35</v>
      </c>
      <c r="R55" s="93">
        <f>VLOOKUP(21,$A$4:$AZ$32,18,FALSE)</f>
        <v>1537.456</v>
      </c>
      <c r="S55" s="93">
        <f>VLOOKUP(21,$A$4:$AZ$32,19,FALSE)</f>
        <v>1547.894</v>
      </c>
      <c r="T55" s="93">
        <f>VLOOKUP(21,$A$4:$AZ$32,20,FALSE)</f>
        <v>1530.702</v>
      </c>
      <c r="U55" s="93">
        <f>VLOOKUP(21,$A$4:$AZ$32,21,FALSE)</f>
        <v>1594.558</v>
      </c>
      <c r="V55" s="93">
        <f>VLOOKUP(21,$A$4:$AZ$32,22,FALSE)</f>
        <v>1654.73</v>
      </c>
      <c r="W55" s="93">
        <f>VLOOKUP(21,$A$4:$AZ$32,23,FALSE)</f>
        <v>1643.064</v>
      </c>
      <c r="X55" s="93">
        <f>VLOOKUP(21,$A$4:$AZ$32,24,FALSE)</f>
        <v>1633.854</v>
      </c>
    </row>
    <row r="56" spans="1:24" ht="25.5">
      <c r="A56">
        <v>22</v>
      </c>
      <c r="B56" s="78" t="s">
        <v>98</v>
      </c>
      <c r="C56" s="93">
        <f>VLOOKUP(22,$A$4:$AZ$32,3,FALSE)</f>
        <v>6235.5175</v>
      </c>
      <c r="D56" s="93">
        <f>VLOOKUP(22,$A$4:$AZ$32,4,FALSE)</f>
        <v>6346.3565</v>
      </c>
      <c r="E56" s="93">
        <f>VLOOKUP(22,$A$4:$AZ$32,5,FALSE)</f>
        <v>6210.8115</v>
      </c>
      <c r="F56" s="93">
        <f>VLOOKUP(22,$A$4:$AZ$32,6,FALSE)</f>
        <v>6126.0685</v>
      </c>
      <c r="G56" s="93">
        <f>VLOOKUP(22,$A$4:$AZ$32,7,FALSE)</f>
        <v>5973.785</v>
      </c>
      <c r="H56" s="93">
        <f>VLOOKUP(22,$A$4:$AZ$32,8,FALSE)</f>
        <v>5943.525</v>
      </c>
      <c r="I56" s="93">
        <f>VLOOKUP(22,$A$4:$AZ$32,9,FALSE)</f>
        <v>5941.668</v>
      </c>
      <c r="J56" s="93">
        <f>VLOOKUP(22,$A$4:$AZ$32,10,FALSE)</f>
        <v>5828.02</v>
      </c>
      <c r="K56" s="93">
        <f>VLOOKUP(22,$A$4:$AZ$32,11,FALSE)</f>
        <v>5766.342</v>
      </c>
      <c r="L56" s="93">
        <f>VLOOKUP(22,$A$4:$AZ$32,12,FALSE)</f>
        <v>5648.334</v>
      </c>
      <c r="M56" s="93">
        <f>VLOOKUP(22,$A$4:$AZ$32,13,FALSE)</f>
        <v>5666.128</v>
      </c>
      <c r="N56" s="93">
        <f>VLOOKUP(22,$A$4:$AZ$32,14,FALSE)</f>
        <v>5516.5455</v>
      </c>
      <c r="O56" s="93">
        <f>VLOOKUP(22,$A$4:$AZ$32,15,FALSE)</f>
        <v>5386.4915</v>
      </c>
      <c r="P56" s="93">
        <f>VLOOKUP(22,$A$4:$AZ$32,16,FALSE)</f>
        <v>5287.5545</v>
      </c>
      <c r="Q56" s="93">
        <f>VLOOKUP(22,$A$4:$AZ$32,17,FALSE)</f>
        <v>5255.3475</v>
      </c>
      <c r="R56" s="93">
        <f>VLOOKUP(22,$A$4:$AZ$32,18,FALSE)</f>
        <v>5242.145</v>
      </c>
      <c r="S56" s="93">
        <f>VLOOKUP(22,$A$4:$AZ$32,19,FALSE)</f>
        <v>5217.783</v>
      </c>
      <c r="T56" s="93">
        <f>VLOOKUP(22,$A$4:$AZ$32,20,FALSE)</f>
        <v>5143.2105</v>
      </c>
      <c r="U56" s="93">
        <f>VLOOKUP(22,$A$4:$AZ$32,21,FALSE)</f>
        <v>5046.526</v>
      </c>
      <c r="V56" s="93">
        <f>VLOOKUP(22,$A$4:$AZ$32,22,FALSE)</f>
        <v>5064.7015</v>
      </c>
      <c r="W56" s="93">
        <f>VLOOKUP(22,$A$4:$AZ$32,23,FALSE)</f>
        <v>4917.927</v>
      </c>
      <c r="X56" s="93">
        <f>VLOOKUP(22,$A$4:$AZ$32,24,FALSE)</f>
        <v>4852.0655</v>
      </c>
    </row>
    <row r="57" spans="1:24" ht="25.5">
      <c r="A57">
        <v>23</v>
      </c>
      <c r="B57" s="78" t="s">
        <v>99</v>
      </c>
      <c r="C57" s="93">
        <f>VLOOKUP(23,$A$4:$AZ$32,3,FALSE)</f>
        <v>668.7365</v>
      </c>
      <c r="D57" s="93">
        <f>VLOOKUP(23,$A$4:$AZ$32,4,FALSE)</f>
        <v>678.776</v>
      </c>
      <c r="E57" s="93">
        <f>VLOOKUP(23,$A$4:$AZ$32,5,FALSE)</f>
        <v>650.0605</v>
      </c>
      <c r="F57" s="93">
        <f>VLOOKUP(23,$A$4:$AZ$32,6,FALSE)</f>
        <v>609.362</v>
      </c>
      <c r="G57" s="93">
        <f>VLOOKUP(23,$A$4:$AZ$32,7,FALSE)</f>
        <v>609.891</v>
      </c>
      <c r="H57" s="93">
        <f>VLOOKUP(23,$A$4:$AZ$32,8,FALSE)</f>
        <v>605.2795</v>
      </c>
      <c r="I57" s="93">
        <f>VLOOKUP(23,$A$4:$AZ$32,9,FALSE)</f>
        <v>610.9835</v>
      </c>
      <c r="J57" s="93">
        <f>VLOOKUP(23,$A$4:$AZ$32,10,FALSE)</f>
        <v>615.6985</v>
      </c>
      <c r="K57" s="93">
        <f>VLOOKUP(23,$A$4:$AZ$32,11,FALSE)</f>
        <v>635.168</v>
      </c>
      <c r="L57" s="93">
        <f>VLOOKUP(23,$A$4:$AZ$32,12,FALSE)</f>
        <v>644.345</v>
      </c>
      <c r="M57" s="93">
        <f>VLOOKUP(23,$A$4:$AZ$32,13,FALSE)</f>
        <v>650.532</v>
      </c>
      <c r="N57" s="93">
        <f>VLOOKUP(23,$A$4:$AZ$32,14,FALSE)</f>
        <v>641.516</v>
      </c>
      <c r="O57" s="93">
        <f>VLOOKUP(23,$A$4:$AZ$32,15,FALSE)</f>
        <v>643.494</v>
      </c>
      <c r="P57" s="93">
        <f>VLOOKUP(23,$A$4:$AZ$32,16,FALSE)</f>
        <v>634.3515</v>
      </c>
      <c r="Q57" s="93">
        <f>VLOOKUP(23,$A$4:$AZ$32,17,FALSE)</f>
        <v>630.7175</v>
      </c>
      <c r="R57" s="93">
        <f>VLOOKUP(23,$A$4:$AZ$32,18,FALSE)</f>
        <v>637.951</v>
      </c>
      <c r="S57" s="93">
        <f>VLOOKUP(23,$A$4:$AZ$32,19,FALSE)</f>
        <v>643.241</v>
      </c>
      <c r="T57" s="93">
        <f>VLOOKUP(23,$A$4:$AZ$32,20,FALSE)</f>
        <v>631.1085</v>
      </c>
      <c r="U57" s="93">
        <f>VLOOKUP(23,$A$4:$AZ$32,21,FALSE)</f>
        <v>642.6085</v>
      </c>
      <c r="V57" s="93">
        <f>VLOOKUP(23,$A$4:$AZ$32,22,FALSE)</f>
        <v>635.4785</v>
      </c>
      <c r="W57" s="93">
        <f>VLOOKUP(23,$A$4:$AZ$32,23,FALSE)</f>
        <v>618.585</v>
      </c>
      <c r="X57" s="93">
        <f>VLOOKUP(23,$A$4:$AZ$32,24,FALSE)</f>
        <v>604.4975</v>
      </c>
    </row>
    <row r="58" spans="1:24" ht="25.5">
      <c r="A58">
        <v>24</v>
      </c>
      <c r="B58" s="78" t="s">
        <v>100</v>
      </c>
      <c r="C58" s="93">
        <f>VLOOKUP(24,$A$4:$AZ$32,3,FALSE)</f>
        <v>984.753</v>
      </c>
      <c r="D58" s="93">
        <f>VLOOKUP(24,$A$4:$AZ$32,4,FALSE)</f>
        <v>957.313</v>
      </c>
      <c r="E58" s="93">
        <f>VLOOKUP(24,$A$4:$AZ$32,5,FALSE)</f>
        <v>952.854</v>
      </c>
      <c r="F58" s="93">
        <f>VLOOKUP(24,$A$4:$AZ$32,6,FALSE)</f>
        <v>968.975</v>
      </c>
      <c r="G58" s="93">
        <f>VLOOKUP(24,$A$4:$AZ$32,7,FALSE)</f>
        <v>959.714</v>
      </c>
      <c r="H58" s="93">
        <f>VLOOKUP(24,$A$4:$AZ$32,8,FALSE)</f>
        <v>971.033</v>
      </c>
      <c r="I58" s="93">
        <f>VLOOKUP(24,$A$4:$AZ$32,9,FALSE)</f>
        <v>943.936</v>
      </c>
      <c r="J58" s="93">
        <f>VLOOKUP(24,$A$4:$AZ$32,10,FALSE)</f>
        <v>948.395</v>
      </c>
      <c r="K58" s="93">
        <f>VLOOKUP(24,$A$4:$AZ$32,11,FALSE)</f>
        <v>948.395</v>
      </c>
      <c r="L58" s="93">
        <f>VLOOKUP(24,$A$4:$AZ$32,12,FALSE)</f>
        <v>939.477</v>
      </c>
      <c r="M58" s="93">
        <f>VLOOKUP(24,$A$4:$AZ$32,13,FALSE)</f>
        <v>915.124</v>
      </c>
      <c r="N58" s="93">
        <f>VLOOKUP(24,$A$4:$AZ$32,14,FALSE)</f>
        <v>928.501</v>
      </c>
      <c r="O58" s="93">
        <f>VLOOKUP(24,$A$4:$AZ$32,15,FALSE)</f>
        <v>928.501</v>
      </c>
      <c r="P58" s="93">
        <f>VLOOKUP(24,$A$4:$AZ$32,16,FALSE)</f>
        <v>978.236</v>
      </c>
      <c r="Q58" s="93">
        <f>VLOOKUP(24,$A$4:$AZ$32,17,FALSE)</f>
        <v>1000.874</v>
      </c>
      <c r="R58" s="93">
        <f>VLOOKUP(24,$A$4:$AZ$32,18,FALSE)</f>
        <v>1022.826</v>
      </c>
      <c r="S58" s="93">
        <f>VLOOKUP(24,$A$4:$AZ$32,19,FALSE)</f>
        <v>1045.464</v>
      </c>
      <c r="T58" s="93">
        <f>VLOOKUP(24,$A$4:$AZ$32,20,FALSE)</f>
        <v>1056.783</v>
      </c>
      <c r="U58" s="93">
        <f>VLOOKUP(24,$A$4:$AZ$32,21,FALSE)</f>
        <v>1058.841</v>
      </c>
      <c r="V58" s="93">
        <f>VLOOKUP(24,$A$4:$AZ$32,22,FALSE)</f>
        <v>1029.343</v>
      </c>
      <c r="W58" s="93">
        <f>VLOOKUP(24,$A$4:$AZ$32,23,FALSE)</f>
        <v>1043.063</v>
      </c>
      <c r="X58" s="93">
        <f>VLOOKUP(24,$A$4:$AZ$32,24,FALSE)</f>
        <v>1065.358</v>
      </c>
    </row>
    <row r="59" spans="1:24" ht="25.5">
      <c r="A59">
        <v>25</v>
      </c>
      <c r="B59" s="78" t="s">
        <v>101</v>
      </c>
      <c r="C59" s="93">
        <f>VLOOKUP(25,$A$4:$AZ$32,3,FALSE)</f>
        <v>0</v>
      </c>
      <c r="D59" s="93">
        <f>VLOOKUP(25,$A$4:$AZ$32,4,FALSE)</f>
        <v>0</v>
      </c>
      <c r="E59" s="93">
        <f>VLOOKUP(25,$A$4:$AZ$32,5,FALSE)</f>
        <v>0</v>
      </c>
      <c r="F59" s="93">
        <f>VLOOKUP(25,$A$4:$AZ$32,6,FALSE)</f>
        <v>0</v>
      </c>
      <c r="G59" s="93">
        <f>VLOOKUP(25,$A$4:$AZ$32,7,FALSE)</f>
        <v>0</v>
      </c>
      <c r="H59" s="93">
        <f>VLOOKUP(25,$A$4:$AZ$32,8,FALSE)</f>
        <v>0</v>
      </c>
      <c r="I59" s="93">
        <f>VLOOKUP(25,$A$4:$AZ$32,9,FALSE)</f>
        <v>0</v>
      </c>
      <c r="J59" s="93">
        <f>VLOOKUP(25,$A$4:$AZ$32,10,FALSE)</f>
        <v>0</v>
      </c>
      <c r="K59" s="93">
        <f>VLOOKUP(25,$A$4:$AZ$32,11,FALSE)</f>
        <v>0</v>
      </c>
      <c r="L59" s="93">
        <f>VLOOKUP(25,$A$4:$AZ$32,12,FALSE)</f>
        <v>0</v>
      </c>
      <c r="M59" s="93">
        <f>VLOOKUP(25,$A$4:$AZ$32,13,FALSE)</f>
        <v>0</v>
      </c>
      <c r="N59" s="93">
        <f>VLOOKUP(25,$A$4:$AZ$32,14,FALSE)</f>
        <v>285.2235</v>
      </c>
      <c r="O59" s="93">
        <f>VLOOKUP(25,$A$4:$AZ$32,15,FALSE)</f>
        <v>831.606</v>
      </c>
      <c r="P59" s="93">
        <f>VLOOKUP(25,$A$4:$AZ$32,16,FALSE)</f>
        <v>1769.3325</v>
      </c>
      <c r="Q59" s="93">
        <f>VLOOKUP(25,$A$4:$AZ$32,17,FALSE)</f>
        <v>2954.4105</v>
      </c>
      <c r="R59" s="93">
        <f>VLOOKUP(25,$A$4:$AZ$32,18,FALSE)</f>
        <v>4209.7095</v>
      </c>
      <c r="S59" s="93">
        <f>VLOOKUP(25,$A$4:$AZ$32,19,FALSE)</f>
        <v>5706.837</v>
      </c>
      <c r="T59" s="93">
        <f>VLOOKUP(25,$A$4:$AZ$32,20,FALSE)</f>
        <v>7197.258</v>
      </c>
      <c r="U59" s="93">
        <f>VLOOKUP(25,$A$4:$AZ$32,21,FALSE)</f>
        <v>8856.1305</v>
      </c>
      <c r="V59" s="93">
        <f>VLOOKUP(25,$A$4:$AZ$32,22,FALSE)</f>
        <v>10474.3695</v>
      </c>
      <c r="W59" s="93">
        <f>VLOOKUP(25,$A$4:$AZ$32,23,FALSE)</f>
        <v>12170.325</v>
      </c>
      <c r="X59" s="93">
        <f>VLOOKUP(25,$A$4:$AZ$32,24,FALSE)</f>
        <v>14136.1185</v>
      </c>
    </row>
    <row r="60" spans="1:24" ht="25.5">
      <c r="A60">
        <v>26</v>
      </c>
      <c r="B60" s="78" t="s">
        <v>102</v>
      </c>
      <c r="C60" s="93">
        <f>VLOOKUP(26,$A$4:$AZ$32,3,FALSE)</f>
        <v>66997.4735</v>
      </c>
      <c r="D60" s="93">
        <f>VLOOKUP(26,$A$4:$AZ$32,4,FALSE)</f>
        <v>68618.1535</v>
      </c>
      <c r="E60" s="93">
        <f>VLOOKUP(26,$A$4:$AZ$32,5,FALSE)</f>
        <v>68798.5195</v>
      </c>
      <c r="F60" s="93">
        <f>VLOOKUP(26,$A$4:$AZ$32,6,FALSE)</f>
        <v>69482.734</v>
      </c>
      <c r="G60" s="93">
        <f>VLOOKUP(26,$A$4:$AZ$32,7,FALSE)</f>
        <v>70133.62</v>
      </c>
      <c r="H60" s="93">
        <f>VLOOKUP(26,$A$4:$AZ$32,8,FALSE)</f>
        <v>70812.6065</v>
      </c>
      <c r="I60" s="93">
        <f>VLOOKUP(26,$A$4:$AZ$32,9,FALSE)</f>
        <v>71254.3725</v>
      </c>
      <c r="J60" s="93">
        <f>VLOOKUP(26,$A$4:$AZ$32,10,FALSE)</f>
        <v>71514.4655</v>
      </c>
      <c r="K60" s="93">
        <f>VLOOKUP(26,$A$4:$AZ$32,11,FALSE)</f>
        <v>71650.3935</v>
      </c>
      <c r="L60" s="93">
        <f>VLOOKUP(26,$A$4:$AZ$32,12,FALSE)</f>
        <v>71613.144</v>
      </c>
      <c r="M60" s="93">
        <f>VLOOKUP(26,$A$4:$AZ$32,13,FALSE)</f>
        <v>71192.9435</v>
      </c>
      <c r="N60" s="93">
        <f>VLOOKUP(26,$A$4:$AZ$32,14,FALSE)</f>
        <v>70477.361</v>
      </c>
      <c r="O60" s="93">
        <f>VLOOKUP(26,$A$4:$AZ$32,15,FALSE)</f>
        <v>68699.1875</v>
      </c>
      <c r="P60" s="93">
        <f>VLOOKUP(26,$A$4:$AZ$32,16,FALSE)</f>
        <v>67033.416</v>
      </c>
      <c r="Q60" s="93">
        <f>VLOOKUP(26,$A$4:$AZ$32,17,FALSE)</f>
        <v>64917.637</v>
      </c>
      <c r="R60" s="93">
        <f>VLOOKUP(26,$A$4:$AZ$32,18,FALSE)</f>
        <v>62136.5165</v>
      </c>
      <c r="S60" s="93">
        <f>VLOOKUP(26,$A$4:$AZ$32,19,FALSE)</f>
        <v>59414.8655</v>
      </c>
      <c r="T60" s="93">
        <f>VLOOKUP(26,$A$4:$AZ$32,20,FALSE)</f>
        <v>56288.097</v>
      </c>
      <c r="U60" s="93">
        <f>VLOOKUP(26,$A$4:$AZ$32,21,FALSE)</f>
        <v>53213.2965</v>
      </c>
      <c r="V60" s="93">
        <f>VLOOKUP(26,$A$4:$AZ$32,22,FALSE)</f>
        <v>49358.2735</v>
      </c>
      <c r="W60" s="93">
        <f>VLOOKUP(26,$A$4:$AZ$32,23,FALSE)</f>
        <v>45578.56</v>
      </c>
      <c r="X60" s="93">
        <f>VLOOKUP(26,$A$4:$AZ$32,24,FALSE)</f>
        <v>42167.1185</v>
      </c>
    </row>
    <row r="61" spans="1:24" ht="25.5">
      <c r="A61">
        <v>27</v>
      </c>
      <c r="B61" s="78" t="s">
        <v>103</v>
      </c>
      <c r="C61" s="93">
        <f>VLOOKUP(27,$A$4:$AZ$32,3,FALSE)</f>
        <v>30444.959</v>
      </c>
      <c r="D61" s="93">
        <f>VLOOKUP(27,$A$4:$AZ$32,4,FALSE)</f>
        <v>30489.9445</v>
      </c>
      <c r="E61" s="93">
        <f>VLOOKUP(27,$A$4:$AZ$32,5,FALSE)</f>
        <v>30119.298</v>
      </c>
      <c r="F61" s="93">
        <f>VLOOKUP(27,$A$4:$AZ$32,6,FALSE)</f>
        <v>29887.264</v>
      </c>
      <c r="G61" s="93">
        <f>VLOOKUP(27,$A$4:$AZ$32,7,FALSE)</f>
        <v>29743.766</v>
      </c>
      <c r="H61" s="93">
        <f>VLOOKUP(27,$A$4:$AZ$32,8,FALSE)</f>
        <v>29681.239</v>
      </c>
      <c r="I61" s="93">
        <f>VLOOKUP(27,$A$4:$AZ$32,9,FALSE)</f>
        <v>29403.761</v>
      </c>
      <c r="J61" s="93">
        <f>VLOOKUP(27,$A$4:$AZ$32,10,FALSE)</f>
        <v>28984.271</v>
      </c>
      <c r="K61" s="93">
        <f>VLOOKUP(27,$A$4:$AZ$32,11,FALSE)</f>
        <v>28900.4865</v>
      </c>
      <c r="L61" s="93">
        <f>VLOOKUP(27,$A$4:$AZ$32,12,FALSE)</f>
        <v>28892.0055</v>
      </c>
      <c r="M61" s="93">
        <f>VLOOKUP(27,$A$4:$AZ$32,13,FALSE)</f>
        <v>29169.284</v>
      </c>
      <c r="N61" s="93">
        <f>VLOOKUP(27,$A$4:$AZ$32,14,FALSE)</f>
        <v>28797.278</v>
      </c>
      <c r="O61" s="93">
        <f>VLOOKUP(27,$A$4:$AZ$32,15,FALSE)</f>
        <v>28419.8485</v>
      </c>
      <c r="P61" s="93">
        <f>VLOOKUP(27,$A$4:$AZ$32,16,FALSE)</f>
        <v>28293.5845</v>
      </c>
      <c r="Q61" s="93">
        <f>VLOOKUP(27,$A$4:$AZ$32,17,FALSE)</f>
        <v>28023.29</v>
      </c>
      <c r="R61" s="93">
        <f>VLOOKUP(27,$A$4:$AZ$32,18,FALSE)</f>
        <v>27667.513</v>
      </c>
      <c r="S61" s="93">
        <f>VLOOKUP(27,$A$4:$AZ$32,19,FALSE)</f>
        <v>27263.3235</v>
      </c>
      <c r="T61" s="93">
        <f>VLOOKUP(27,$A$4:$AZ$32,20,FALSE)</f>
        <v>26846.468</v>
      </c>
      <c r="U61" s="93">
        <f>VLOOKUP(27,$A$4:$AZ$32,21,FALSE)</f>
        <v>26837.811</v>
      </c>
      <c r="V61" s="93">
        <f>VLOOKUP(27,$A$4:$AZ$32,22,FALSE)</f>
        <v>26554.8875</v>
      </c>
      <c r="W61" s="93">
        <f>VLOOKUP(27,$A$4:$AZ$32,23,FALSE)</f>
        <v>25965.203</v>
      </c>
      <c r="X61" s="93">
        <f>VLOOKUP(27,$A$4:$AZ$32,24,FALSE)</f>
        <v>25771.4355</v>
      </c>
    </row>
    <row r="62" spans="1:24" ht="25.5">
      <c r="A62">
        <v>28</v>
      </c>
      <c r="B62" s="78" t="s">
        <v>104</v>
      </c>
      <c r="C62" s="93">
        <f>VLOOKUP(28,$A$4:$AZ$32,3,FALSE)</f>
        <v>5858.0725</v>
      </c>
      <c r="D62" s="93">
        <f>VLOOKUP(28,$A$4:$AZ$32,4,FALSE)</f>
        <v>5915.014</v>
      </c>
      <c r="E62" s="93">
        <f>VLOOKUP(28,$A$4:$AZ$32,5,FALSE)</f>
        <v>5746.901</v>
      </c>
      <c r="F62" s="93">
        <f>VLOOKUP(28,$A$4:$AZ$32,6,FALSE)</f>
        <v>5602.945</v>
      </c>
      <c r="G62" s="93">
        <f>VLOOKUP(28,$A$4:$AZ$32,7,FALSE)</f>
        <v>5633.511</v>
      </c>
      <c r="H62" s="93">
        <f>VLOOKUP(28,$A$4:$AZ$32,8,FALSE)</f>
        <v>5620.4465</v>
      </c>
      <c r="I62" s="93">
        <f>VLOOKUP(28,$A$4:$AZ$32,9,FALSE)</f>
        <v>5651.259</v>
      </c>
      <c r="J62" s="93">
        <f>VLOOKUP(28,$A$4:$AZ$32,10,FALSE)</f>
        <v>5617.242</v>
      </c>
      <c r="K62" s="93">
        <f>VLOOKUP(28,$A$4:$AZ$32,11,FALSE)</f>
        <v>5564.7375</v>
      </c>
      <c r="L62" s="93">
        <f>VLOOKUP(28,$A$4:$AZ$32,12,FALSE)</f>
        <v>5597.029</v>
      </c>
      <c r="M62" s="93">
        <f>VLOOKUP(28,$A$4:$AZ$32,13,FALSE)</f>
        <v>5552.659</v>
      </c>
      <c r="N62" s="93">
        <f>VLOOKUP(28,$A$4:$AZ$32,14,FALSE)</f>
        <v>5525.544</v>
      </c>
      <c r="O62" s="93">
        <f>VLOOKUP(28,$A$4:$AZ$32,15,FALSE)</f>
        <v>5532.446</v>
      </c>
      <c r="P62" s="93">
        <f>VLOOKUP(28,$A$4:$AZ$32,16,FALSE)</f>
        <v>5436.311</v>
      </c>
      <c r="Q62" s="93">
        <f>VLOOKUP(28,$A$4:$AZ$32,17,FALSE)</f>
        <v>5441.9805</v>
      </c>
      <c r="R62" s="93">
        <f>VLOOKUP(28,$A$4:$AZ$32,18,FALSE)</f>
        <v>5394.6525</v>
      </c>
      <c r="S62" s="93">
        <f>VLOOKUP(28,$A$4:$AZ$32,19,FALSE)</f>
        <v>5384.546</v>
      </c>
      <c r="T62" s="93">
        <f>VLOOKUP(28,$A$4:$AZ$32,20,FALSE)</f>
        <v>5294.327</v>
      </c>
      <c r="U62" s="93">
        <f>VLOOKUP(28,$A$4:$AZ$32,21,FALSE)</f>
        <v>5242.069</v>
      </c>
      <c r="V62" s="93">
        <f>VLOOKUP(28,$A$4:$AZ$32,22,FALSE)</f>
        <v>5201.643</v>
      </c>
      <c r="W62" s="93">
        <f>VLOOKUP(28,$A$4:$AZ$32,23,FALSE)</f>
        <v>5059.659</v>
      </c>
      <c r="X62" s="93">
        <f>VLOOKUP(28,$A$4:$AZ$32,24,FALSE)</f>
        <v>5006.908</v>
      </c>
    </row>
    <row r="63" spans="1:24" ht="12.75">
      <c r="A63">
        <v>29</v>
      </c>
      <c r="B63" s="78" t="s">
        <v>107</v>
      </c>
      <c r="C63" s="93">
        <f>VLOOKUP(29,$A$4:$AZ$32,3,FALSE)</f>
        <v>0</v>
      </c>
      <c r="D63" s="93">
        <f>VLOOKUP(29,$A$4:$AZ$32,4,FALSE)</f>
        <v>0</v>
      </c>
      <c r="E63" s="93">
        <f>VLOOKUP(29,$A$4:$AZ$32,5,FALSE)</f>
        <v>0</v>
      </c>
      <c r="F63" s="93">
        <f>VLOOKUP(29,$A$4:$AZ$32,6,FALSE)</f>
        <v>0</v>
      </c>
      <c r="G63" s="93">
        <f>VLOOKUP(29,$A$4:$AZ$32,7,FALSE)</f>
        <v>0</v>
      </c>
      <c r="H63" s="93">
        <f>VLOOKUP(29,$A$4:$AZ$32,8,FALSE)</f>
        <v>0</v>
      </c>
      <c r="I63" s="93">
        <f>VLOOKUP(29,$A$4:$AZ$32,9,FALSE)</f>
        <v>0</v>
      </c>
      <c r="J63" s="93">
        <f>VLOOKUP(29,$A$4:$AZ$32,10,FALSE)</f>
        <v>0</v>
      </c>
      <c r="K63" s="93">
        <f>VLOOKUP(29,$A$4:$AZ$32,11,FALSE)</f>
        <v>0</v>
      </c>
      <c r="L63" s="93">
        <f>VLOOKUP(29,$A$4:$AZ$32,12,FALSE)</f>
        <v>0</v>
      </c>
      <c r="M63" s="93">
        <f>VLOOKUP(29,$A$4:$AZ$32,13,FALSE)</f>
        <v>0</v>
      </c>
      <c r="N63" s="93">
        <f>VLOOKUP(29,$A$4:$AZ$32,14,FALSE)</f>
        <v>0</v>
      </c>
      <c r="O63" s="93">
        <f>VLOOKUP(29,$A$4:$AZ$32,15,FALSE)</f>
        <v>0</v>
      </c>
      <c r="P63" s="93">
        <f>VLOOKUP(29,$A$4:$AZ$32,16,FALSE)</f>
        <v>0</v>
      </c>
      <c r="Q63" s="93">
        <f>VLOOKUP(29,$A$4:$AZ$32,17,FALSE)</f>
        <v>0</v>
      </c>
      <c r="R63" s="93">
        <f>VLOOKUP(29,$A$4:$AZ$32,18,FALSE)</f>
        <v>0</v>
      </c>
      <c r="S63" s="93">
        <f>VLOOKUP(29,$A$4:$AZ$32,19,FALSE)</f>
        <v>0</v>
      </c>
      <c r="T63" s="93">
        <f>VLOOKUP(29,$A$4:$AZ$32,20,FALSE)</f>
        <v>0</v>
      </c>
      <c r="U63" s="93">
        <f>VLOOKUP(29,$A$4:$AZ$32,21,FALSE)</f>
        <v>0</v>
      </c>
      <c r="V63" s="93">
        <f>VLOOKUP(29,$A$4:$AZ$32,22,FALSE)</f>
        <v>0</v>
      </c>
      <c r="W63" s="93">
        <f>VLOOKUP(29,$A$4:$AZ$32,23,FALSE)</f>
        <v>0</v>
      </c>
      <c r="X63" s="93">
        <f>VLOOKUP(29,$A$4:$AZ$32,24,FALSE)</f>
        <v>120.168</v>
      </c>
    </row>
    <row r="64" spans="2:24" ht="12.75">
      <c r="B64" s="44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</row>
    <row r="65" spans="2:24" ht="13.5" thickBot="1">
      <c r="B65" s="9" t="s">
        <v>0</v>
      </c>
      <c r="C65" s="12">
        <v>38443</v>
      </c>
      <c r="D65" s="12">
        <v>38473</v>
      </c>
      <c r="E65" s="12">
        <v>38504</v>
      </c>
      <c r="F65" s="12">
        <v>38534</v>
      </c>
      <c r="G65" s="12">
        <v>38565</v>
      </c>
      <c r="H65" s="12">
        <v>38596</v>
      </c>
      <c r="I65" s="12">
        <v>38626</v>
      </c>
      <c r="J65" s="12">
        <v>38657</v>
      </c>
      <c r="K65" s="12">
        <v>38687</v>
      </c>
      <c r="L65" s="12">
        <v>38718</v>
      </c>
      <c r="M65" s="12">
        <v>38749</v>
      </c>
      <c r="N65" s="12">
        <v>38777</v>
      </c>
      <c r="O65" s="12">
        <v>38808</v>
      </c>
      <c r="P65" s="12">
        <v>38838</v>
      </c>
      <c r="Q65" s="12">
        <v>38869</v>
      </c>
      <c r="R65" s="12">
        <v>38899</v>
      </c>
      <c r="S65" s="12">
        <v>38930</v>
      </c>
      <c r="T65" s="12">
        <v>38961</v>
      </c>
      <c r="U65" s="12">
        <v>38991</v>
      </c>
      <c r="V65" s="12">
        <v>39022</v>
      </c>
      <c r="W65" s="12">
        <v>39052</v>
      </c>
      <c r="X65" s="12">
        <v>39083</v>
      </c>
    </row>
    <row r="66" spans="2:24" ht="13.5" thickTop="1">
      <c r="B66" s="99" t="s">
        <v>1</v>
      </c>
      <c r="C66" s="102">
        <f aca="true" t="shared" si="0" ref="C66:R66">IF(ISERROR(C35),0,C35)</f>
        <v>0</v>
      </c>
      <c r="D66" s="102">
        <f t="shared" si="0"/>
        <v>0</v>
      </c>
      <c r="E66" s="102">
        <f t="shared" si="0"/>
        <v>0</v>
      </c>
      <c r="F66" s="102">
        <f t="shared" si="0"/>
        <v>0</v>
      </c>
      <c r="G66" s="102">
        <f t="shared" si="0"/>
        <v>0</v>
      </c>
      <c r="H66" s="102">
        <f t="shared" si="0"/>
        <v>0</v>
      </c>
      <c r="I66" s="102">
        <f t="shared" si="0"/>
        <v>0</v>
      </c>
      <c r="J66" s="102">
        <f t="shared" si="0"/>
        <v>0</v>
      </c>
      <c r="K66" s="102">
        <f t="shared" si="0"/>
        <v>13.662</v>
      </c>
      <c r="L66" s="102">
        <f t="shared" si="0"/>
        <v>43.884</v>
      </c>
      <c r="M66" s="102">
        <f t="shared" si="0"/>
        <v>51.336</v>
      </c>
      <c r="N66" s="102">
        <f t="shared" si="0"/>
        <v>100.188</v>
      </c>
      <c r="O66" s="102">
        <f t="shared" si="0"/>
        <v>149.868</v>
      </c>
      <c r="P66" s="102">
        <f t="shared" si="0"/>
        <v>199.548</v>
      </c>
      <c r="Q66" s="102">
        <f t="shared" si="0"/>
        <v>254.61</v>
      </c>
      <c r="R66" s="102">
        <f t="shared" si="0"/>
        <v>309.672</v>
      </c>
      <c r="S66" s="102">
        <f aca="true" t="shared" si="1" ref="D66:X78">IF(ISERROR(S35),0,S35)</f>
        <v>375.498</v>
      </c>
      <c r="T66" s="102">
        <f t="shared" si="1"/>
        <v>441.324</v>
      </c>
      <c r="U66" s="102">
        <f t="shared" si="1"/>
        <v>507.15</v>
      </c>
      <c r="V66" s="102">
        <f t="shared" si="1"/>
        <v>569.664</v>
      </c>
      <c r="W66" s="102">
        <f t="shared" si="1"/>
        <v>596.988</v>
      </c>
      <c r="X66" s="102">
        <f t="shared" si="1"/>
        <v>670.68</v>
      </c>
    </row>
    <row r="67" spans="2:24" ht="12.75">
      <c r="B67" s="101" t="s">
        <v>2</v>
      </c>
      <c r="C67" s="102">
        <f aca="true" t="shared" si="2" ref="C67:C94">IF(ISERROR(C36),0,C36)</f>
        <v>139085.928</v>
      </c>
      <c r="D67" s="102">
        <f t="shared" si="1"/>
        <v>139686.315</v>
      </c>
      <c r="E67" s="102">
        <f t="shared" si="1"/>
        <v>136802.5955</v>
      </c>
      <c r="F67" s="102">
        <f t="shared" si="1"/>
        <v>135030.7225</v>
      </c>
      <c r="G67" s="102">
        <f t="shared" si="1"/>
        <v>133578.0225</v>
      </c>
      <c r="H67" s="102">
        <f t="shared" si="1"/>
        <v>132141.178</v>
      </c>
      <c r="I67" s="102">
        <f t="shared" si="1"/>
        <v>130222.673</v>
      </c>
      <c r="J67" s="102">
        <f t="shared" si="1"/>
        <v>129113.5145</v>
      </c>
      <c r="K67" s="102">
        <f t="shared" si="1"/>
        <v>127908.27</v>
      </c>
      <c r="L67" s="102">
        <f t="shared" si="1"/>
        <v>127029.62</v>
      </c>
      <c r="M67" s="102">
        <f t="shared" si="1"/>
        <v>126190.6735</v>
      </c>
      <c r="N67" s="102">
        <f t="shared" si="1"/>
        <v>124835.537</v>
      </c>
      <c r="O67" s="102">
        <f t="shared" si="1"/>
        <v>122580.9975</v>
      </c>
      <c r="P67" s="102">
        <f t="shared" si="1"/>
        <v>121864.392</v>
      </c>
      <c r="Q67" s="102">
        <f t="shared" si="1"/>
        <v>121739.6005</v>
      </c>
      <c r="R67" s="102">
        <f t="shared" si="1"/>
        <v>121740.6775</v>
      </c>
      <c r="S67" s="102">
        <f t="shared" si="1"/>
        <v>120955.756</v>
      </c>
      <c r="T67" s="102">
        <f t="shared" si="1"/>
        <v>120309.3185</v>
      </c>
      <c r="U67" s="102">
        <f t="shared" si="1"/>
        <v>120990.75</v>
      </c>
      <c r="V67" s="102">
        <f t="shared" si="1"/>
        <v>119645.0735</v>
      </c>
      <c r="W67" s="102">
        <f t="shared" si="1"/>
        <v>118354.4175</v>
      </c>
      <c r="X67" s="102">
        <f t="shared" si="1"/>
        <v>118547.6235</v>
      </c>
    </row>
    <row r="68" spans="2:24" ht="12.75">
      <c r="B68" s="101" t="s">
        <v>3</v>
      </c>
      <c r="C68" s="102">
        <f t="shared" si="2"/>
        <v>34949.53</v>
      </c>
      <c r="D68" s="102">
        <f t="shared" si="1"/>
        <v>36526.305</v>
      </c>
      <c r="E68" s="102">
        <f t="shared" si="1"/>
        <v>36845.0775</v>
      </c>
      <c r="F68" s="102">
        <f t="shared" si="1"/>
        <v>37051.545</v>
      </c>
      <c r="G68" s="102">
        <f t="shared" si="1"/>
        <v>37508.6825</v>
      </c>
      <c r="H68" s="102">
        <f t="shared" si="1"/>
        <v>37415.9</v>
      </c>
      <c r="I68" s="102">
        <f t="shared" si="1"/>
        <v>37885.6625</v>
      </c>
      <c r="J68" s="102">
        <f t="shared" si="1"/>
        <v>38133.6875</v>
      </c>
      <c r="K68" s="102">
        <f t="shared" si="1"/>
        <v>38291.4</v>
      </c>
      <c r="L68" s="102">
        <f t="shared" si="1"/>
        <v>38393.9</v>
      </c>
      <c r="M68" s="102">
        <f t="shared" si="1"/>
        <v>38207.9875</v>
      </c>
      <c r="N68" s="102">
        <f t="shared" si="1"/>
        <v>37398.4625</v>
      </c>
      <c r="O68" s="102">
        <f t="shared" si="1"/>
        <v>36920.2375</v>
      </c>
      <c r="P68" s="102">
        <f t="shared" si="1"/>
        <v>36541.3</v>
      </c>
      <c r="Q68" s="102">
        <f t="shared" si="1"/>
        <v>36416.65</v>
      </c>
      <c r="R68" s="102">
        <f t="shared" si="1"/>
        <v>36177.8875</v>
      </c>
      <c r="S68" s="102">
        <f t="shared" si="1"/>
        <v>36026.75</v>
      </c>
      <c r="T68" s="102">
        <f t="shared" si="1"/>
        <v>35956.025</v>
      </c>
      <c r="U68" s="102">
        <f t="shared" si="1"/>
        <v>35898.3</v>
      </c>
      <c r="V68" s="102">
        <f t="shared" si="1"/>
        <v>35433.7625</v>
      </c>
      <c r="W68" s="102">
        <f t="shared" si="1"/>
        <v>34955.85</v>
      </c>
      <c r="X68" s="102">
        <f t="shared" si="1"/>
        <v>34891.4</v>
      </c>
    </row>
    <row r="69" spans="2:24" ht="12.75">
      <c r="B69" s="101" t="s">
        <v>74</v>
      </c>
      <c r="C69" s="102">
        <f t="shared" si="2"/>
        <v>0</v>
      </c>
      <c r="D69" s="102">
        <f t="shared" si="1"/>
        <v>0</v>
      </c>
      <c r="E69" s="102">
        <f t="shared" si="1"/>
        <v>0</v>
      </c>
      <c r="F69" s="102">
        <f t="shared" si="1"/>
        <v>0</v>
      </c>
      <c r="G69" s="102">
        <f t="shared" si="1"/>
        <v>0</v>
      </c>
      <c r="H69" s="102">
        <f t="shared" si="1"/>
        <v>0</v>
      </c>
      <c r="I69" s="102">
        <f t="shared" si="1"/>
        <v>0</v>
      </c>
      <c r="J69" s="102">
        <f t="shared" si="1"/>
        <v>0</v>
      </c>
      <c r="K69" s="102">
        <f t="shared" si="1"/>
        <v>0</v>
      </c>
      <c r="L69" s="102">
        <f t="shared" si="1"/>
        <v>0</v>
      </c>
      <c r="M69" s="102">
        <f t="shared" si="1"/>
        <v>0</v>
      </c>
      <c r="N69" s="102">
        <f t="shared" si="1"/>
        <v>0</v>
      </c>
      <c r="O69" s="102">
        <f t="shared" si="1"/>
        <v>0</v>
      </c>
      <c r="P69" s="102">
        <f t="shared" si="1"/>
        <v>0</v>
      </c>
      <c r="Q69" s="102">
        <f t="shared" si="1"/>
        <v>0</v>
      </c>
      <c r="R69" s="102">
        <f t="shared" si="1"/>
        <v>0</v>
      </c>
      <c r="S69" s="102">
        <f t="shared" si="1"/>
        <v>0</v>
      </c>
      <c r="T69" s="102">
        <f t="shared" si="1"/>
        <v>0</v>
      </c>
      <c r="U69" s="102">
        <f t="shared" si="1"/>
        <v>7.189</v>
      </c>
      <c r="V69" s="102">
        <f t="shared" si="1"/>
        <v>7.189</v>
      </c>
      <c r="W69" s="102">
        <f t="shared" si="1"/>
        <v>7.189</v>
      </c>
      <c r="X69" s="102">
        <f t="shared" si="1"/>
        <v>14.739</v>
      </c>
    </row>
    <row r="70" spans="2:24" ht="12.75">
      <c r="B70" s="101" t="s">
        <v>4</v>
      </c>
      <c r="C70" s="102">
        <f t="shared" si="2"/>
        <v>221831.2725</v>
      </c>
      <c r="D70" s="102">
        <f t="shared" si="1"/>
        <v>223795.221</v>
      </c>
      <c r="E70" s="102">
        <f t="shared" si="1"/>
        <v>222729.663</v>
      </c>
      <c r="F70" s="102">
        <f t="shared" si="1"/>
        <v>221369.6745</v>
      </c>
      <c r="G70" s="102">
        <f t="shared" si="1"/>
        <v>219842.5185</v>
      </c>
      <c r="H70" s="102">
        <f t="shared" si="1"/>
        <v>218787.7455</v>
      </c>
      <c r="I70" s="102">
        <f t="shared" si="1"/>
        <v>217196.958</v>
      </c>
      <c r="J70" s="102">
        <f t="shared" si="1"/>
        <v>215578.1295</v>
      </c>
      <c r="K70" s="102">
        <f t="shared" si="1"/>
        <v>213932.3385</v>
      </c>
      <c r="L70" s="102">
        <f t="shared" si="1"/>
        <v>211579.0515</v>
      </c>
      <c r="M70" s="102">
        <f t="shared" si="1"/>
        <v>211098.0405</v>
      </c>
      <c r="N70" s="102">
        <f t="shared" si="1"/>
        <v>208145.1075</v>
      </c>
      <c r="O70" s="102">
        <f t="shared" si="1"/>
        <v>205200.8025</v>
      </c>
      <c r="P70" s="102">
        <f t="shared" si="1"/>
        <v>203695.2165</v>
      </c>
      <c r="Q70" s="102">
        <f t="shared" si="1"/>
        <v>200904.0585</v>
      </c>
      <c r="R70" s="102">
        <f t="shared" si="1"/>
        <v>197950.1135</v>
      </c>
      <c r="S70" s="102">
        <f t="shared" si="1"/>
        <v>194553.3805</v>
      </c>
      <c r="T70" s="102">
        <f t="shared" si="1"/>
        <v>189578.555</v>
      </c>
      <c r="U70" s="102">
        <f t="shared" si="1"/>
        <v>186657.3302</v>
      </c>
      <c r="V70" s="102">
        <f t="shared" si="1"/>
        <v>182104.7214</v>
      </c>
      <c r="W70" s="102">
        <f t="shared" si="1"/>
        <v>176081.6623</v>
      </c>
      <c r="X70" s="102">
        <f t="shared" si="1"/>
        <v>172991.077</v>
      </c>
    </row>
    <row r="71" spans="2:24" ht="12.75">
      <c r="B71" s="101" t="s">
        <v>5</v>
      </c>
      <c r="C71" s="102">
        <f t="shared" si="2"/>
        <v>163886.052</v>
      </c>
      <c r="D71" s="102">
        <f t="shared" si="1"/>
        <v>167868.5525</v>
      </c>
      <c r="E71" s="102">
        <f t="shared" si="1"/>
        <v>169235.077</v>
      </c>
      <c r="F71" s="102">
        <f t="shared" si="1"/>
        <v>168698.156</v>
      </c>
      <c r="G71" s="102">
        <f t="shared" si="1"/>
        <v>171114.3005</v>
      </c>
      <c r="H71" s="102">
        <f t="shared" si="1"/>
        <v>171806.646</v>
      </c>
      <c r="I71" s="102">
        <f t="shared" si="1"/>
        <v>171404.9645</v>
      </c>
      <c r="J71" s="102">
        <f t="shared" si="1"/>
        <v>170512.7875</v>
      </c>
      <c r="K71" s="102">
        <f t="shared" si="1"/>
        <v>170046.514</v>
      </c>
      <c r="L71" s="102">
        <f t="shared" si="1"/>
        <v>170034.403</v>
      </c>
      <c r="M71" s="102">
        <f t="shared" si="1"/>
        <v>170845.84</v>
      </c>
      <c r="N71" s="102">
        <f t="shared" si="1"/>
        <v>169519.6855</v>
      </c>
      <c r="O71" s="102">
        <f t="shared" si="1"/>
        <v>166770.4885</v>
      </c>
      <c r="P71" s="102">
        <f t="shared" si="1"/>
        <v>166639.286</v>
      </c>
      <c r="Q71" s="102">
        <f t="shared" si="1"/>
        <v>164828.6915</v>
      </c>
      <c r="R71" s="102">
        <f t="shared" si="1"/>
        <v>163952.818</v>
      </c>
      <c r="S71" s="102">
        <f t="shared" si="1"/>
        <v>160276.077</v>
      </c>
      <c r="T71" s="102">
        <f t="shared" si="1"/>
        <v>157019.8215</v>
      </c>
      <c r="U71" s="102">
        <f t="shared" si="1"/>
        <v>154651.584</v>
      </c>
      <c r="V71" s="102">
        <f t="shared" si="1"/>
        <v>150232.5205</v>
      </c>
      <c r="W71" s="102">
        <f t="shared" si="1"/>
        <v>145349.8815</v>
      </c>
      <c r="X71" s="102">
        <f t="shared" si="1"/>
        <v>143304.667</v>
      </c>
    </row>
    <row r="72" spans="2:24" ht="12.75">
      <c r="B72" s="101" t="s">
        <v>53</v>
      </c>
      <c r="C72" s="102">
        <f t="shared" si="2"/>
        <v>0</v>
      </c>
      <c r="D72" s="102">
        <f t="shared" si="1"/>
        <v>0</v>
      </c>
      <c r="E72" s="102">
        <f t="shared" si="1"/>
        <v>0</v>
      </c>
      <c r="F72" s="102">
        <f t="shared" si="1"/>
        <v>0</v>
      </c>
      <c r="G72" s="102">
        <f t="shared" si="1"/>
        <v>0</v>
      </c>
      <c r="H72" s="102">
        <f t="shared" si="1"/>
        <v>0</v>
      </c>
      <c r="I72" s="102">
        <f t="shared" si="1"/>
        <v>0</v>
      </c>
      <c r="J72" s="102">
        <f t="shared" si="1"/>
        <v>0</v>
      </c>
      <c r="K72" s="102">
        <f t="shared" si="1"/>
        <v>0</v>
      </c>
      <c r="L72" s="102">
        <f t="shared" si="1"/>
        <v>0</v>
      </c>
      <c r="M72" s="102">
        <f t="shared" si="1"/>
        <v>0</v>
      </c>
      <c r="N72" s="102">
        <f t="shared" si="1"/>
        <v>0</v>
      </c>
      <c r="O72" s="102">
        <f t="shared" si="1"/>
        <v>0</v>
      </c>
      <c r="P72" s="102">
        <f t="shared" si="1"/>
        <v>0</v>
      </c>
      <c r="Q72" s="102">
        <f t="shared" si="1"/>
        <v>120.949</v>
      </c>
      <c r="R72" s="102">
        <f t="shared" si="1"/>
        <v>313.855</v>
      </c>
      <c r="S72" s="102">
        <f t="shared" si="1"/>
        <v>669.047</v>
      </c>
      <c r="T72" s="102">
        <f t="shared" si="1"/>
        <v>1002.805</v>
      </c>
      <c r="U72" s="102">
        <f t="shared" si="1"/>
        <v>1794.332</v>
      </c>
      <c r="V72" s="102">
        <f t="shared" si="1"/>
        <v>2463.379</v>
      </c>
      <c r="W72" s="102">
        <f t="shared" si="1"/>
        <v>3453.139</v>
      </c>
      <c r="X72" s="102">
        <f t="shared" si="1"/>
        <v>4671.9567</v>
      </c>
    </row>
    <row r="73" spans="2:24" ht="12.75">
      <c r="B73" s="101" t="s">
        <v>6</v>
      </c>
      <c r="C73" s="102">
        <f t="shared" si="2"/>
        <v>7614.396</v>
      </c>
      <c r="D73" s="102">
        <f t="shared" si="1"/>
        <v>7694.227</v>
      </c>
      <c r="E73" s="102">
        <f t="shared" si="1"/>
        <v>7768.297</v>
      </c>
      <c r="F73" s="102">
        <f t="shared" si="1"/>
        <v>7713.156</v>
      </c>
      <c r="G73" s="102">
        <f t="shared" si="1"/>
        <v>7755.952</v>
      </c>
      <c r="H73" s="102">
        <f t="shared" si="1"/>
        <v>7880.225</v>
      </c>
      <c r="I73" s="102">
        <f t="shared" si="1"/>
        <v>8000.383</v>
      </c>
      <c r="J73" s="102">
        <f t="shared" si="1"/>
        <v>8086.798</v>
      </c>
      <c r="K73" s="102">
        <f t="shared" si="1"/>
        <v>8197.903</v>
      </c>
      <c r="L73" s="102">
        <f t="shared" si="1"/>
        <v>8453.033</v>
      </c>
      <c r="M73" s="102">
        <f t="shared" si="1"/>
        <v>8588.005</v>
      </c>
      <c r="N73" s="102">
        <f t="shared" si="1"/>
        <v>8818.445</v>
      </c>
      <c r="O73" s="102">
        <f t="shared" si="1"/>
        <v>8864.533</v>
      </c>
      <c r="P73" s="102">
        <f t="shared" si="1"/>
        <v>9092.504</v>
      </c>
      <c r="Q73" s="102">
        <f t="shared" si="1"/>
        <v>9110.61</v>
      </c>
      <c r="R73" s="102">
        <f t="shared" si="1"/>
        <v>9272.741</v>
      </c>
      <c r="S73" s="102">
        <f t="shared" si="1"/>
        <v>9238.998</v>
      </c>
      <c r="T73" s="102">
        <f t="shared" si="1"/>
        <v>9262.772</v>
      </c>
      <c r="U73" s="102">
        <f t="shared" si="1"/>
        <v>9365.655</v>
      </c>
      <c r="V73" s="102">
        <f t="shared" si="1"/>
        <v>9405.106</v>
      </c>
      <c r="W73" s="102">
        <f t="shared" si="1"/>
        <v>9355.555</v>
      </c>
      <c r="X73" s="102">
        <f t="shared" si="1"/>
        <v>9179.0554</v>
      </c>
    </row>
    <row r="74" spans="2:24" ht="12.75">
      <c r="B74" s="101" t="s">
        <v>7</v>
      </c>
      <c r="C74" s="102">
        <f t="shared" si="2"/>
        <v>25213.0095</v>
      </c>
      <c r="D74" s="102">
        <f t="shared" si="1"/>
        <v>25231.395</v>
      </c>
      <c r="E74" s="102">
        <f t="shared" si="1"/>
        <v>24953.4495</v>
      </c>
      <c r="F74" s="102">
        <f t="shared" si="1"/>
        <v>24688.482</v>
      </c>
      <c r="G74" s="102">
        <f t="shared" si="1"/>
        <v>24782.5725</v>
      </c>
      <c r="H74" s="102">
        <f t="shared" si="1"/>
        <v>24555.4575</v>
      </c>
      <c r="I74" s="102">
        <f t="shared" si="1"/>
        <v>24432.1665</v>
      </c>
      <c r="J74" s="102">
        <f t="shared" si="1"/>
        <v>24276.4305</v>
      </c>
      <c r="K74" s="102">
        <f t="shared" si="1"/>
        <v>24242.904</v>
      </c>
      <c r="L74" s="102">
        <f t="shared" si="1"/>
        <v>24119.613</v>
      </c>
      <c r="M74" s="102">
        <f t="shared" si="1"/>
        <v>23646.9975</v>
      </c>
      <c r="N74" s="102">
        <f t="shared" si="1"/>
        <v>23442.594</v>
      </c>
      <c r="O74" s="102">
        <f t="shared" si="1"/>
        <v>22737.456</v>
      </c>
      <c r="P74" s="102">
        <f t="shared" si="1"/>
        <v>22542.786</v>
      </c>
      <c r="Q74" s="102">
        <f t="shared" si="1"/>
        <v>22356.768</v>
      </c>
      <c r="R74" s="102">
        <f t="shared" si="1"/>
        <v>21952.287</v>
      </c>
      <c r="S74" s="102">
        <f t="shared" si="1"/>
        <v>21386.6625</v>
      </c>
      <c r="T74" s="102">
        <f t="shared" si="1"/>
        <v>21486.9225</v>
      </c>
      <c r="U74" s="102">
        <f t="shared" si="1"/>
        <v>21541.992</v>
      </c>
      <c r="V74" s="102">
        <f t="shared" si="1"/>
        <v>21328.5895</v>
      </c>
      <c r="W74" s="102">
        <f t="shared" si="1"/>
        <v>21075.1045</v>
      </c>
      <c r="X74" s="102">
        <f t="shared" si="1"/>
        <v>20931.291</v>
      </c>
    </row>
    <row r="75" spans="2:24" ht="12.75">
      <c r="B75" s="101" t="s">
        <v>8</v>
      </c>
      <c r="C75" s="102">
        <f t="shared" si="2"/>
        <v>22818.105</v>
      </c>
      <c r="D75" s="102">
        <f t="shared" si="1"/>
        <v>23269.245</v>
      </c>
      <c r="E75" s="102">
        <f t="shared" si="1"/>
        <v>23283.15</v>
      </c>
      <c r="F75" s="102">
        <f t="shared" si="1"/>
        <v>23335.68</v>
      </c>
      <c r="G75" s="102">
        <f t="shared" si="1"/>
        <v>23488.635</v>
      </c>
      <c r="H75" s="102">
        <f t="shared" si="1"/>
        <v>23616.87</v>
      </c>
      <c r="I75" s="102">
        <f t="shared" si="1"/>
        <v>23799.18</v>
      </c>
      <c r="J75" s="102">
        <f t="shared" si="1"/>
        <v>23830.08</v>
      </c>
      <c r="K75" s="102">
        <f t="shared" si="1"/>
        <v>23771.37</v>
      </c>
      <c r="L75" s="102">
        <f t="shared" si="1"/>
        <v>23865.615</v>
      </c>
      <c r="M75" s="102">
        <f t="shared" si="1"/>
        <v>23655.495</v>
      </c>
      <c r="N75" s="102">
        <f t="shared" si="1"/>
        <v>23562.795</v>
      </c>
      <c r="O75" s="102">
        <f t="shared" si="1"/>
        <v>22988.055</v>
      </c>
      <c r="P75" s="102">
        <f t="shared" si="1"/>
        <v>22918.53</v>
      </c>
      <c r="Q75" s="102">
        <f t="shared" si="1"/>
        <v>22867.545</v>
      </c>
      <c r="R75" s="102">
        <f t="shared" si="1"/>
        <v>22672.875</v>
      </c>
      <c r="S75" s="102">
        <f t="shared" si="1"/>
        <v>22822.6853</v>
      </c>
      <c r="T75" s="102">
        <f t="shared" si="1"/>
        <v>22574.4966</v>
      </c>
      <c r="U75" s="102">
        <f t="shared" si="1"/>
        <v>22327.6479</v>
      </c>
      <c r="V75" s="102">
        <f t="shared" si="1"/>
        <v>22363.8589</v>
      </c>
      <c r="W75" s="102">
        <f t="shared" si="1"/>
        <v>22268.8209</v>
      </c>
      <c r="X75" s="102">
        <f t="shared" si="1"/>
        <v>22369.7222</v>
      </c>
    </row>
    <row r="76" spans="2:24" ht="12.75">
      <c r="B76" s="101" t="s">
        <v>9</v>
      </c>
      <c r="C76" s="102">
        <f t="shared" si="2"/>
        <v>132375.396</v>
      </c>
      <c r="D76" s="102">
        <f t="shared" si="1"/>
        <v>135667.124</v>
      </c>
      <c r="E76" s="102">
        <f t="shared" si="1"/>
        <v>135818.016</v>
      </c>
      <c r="F76" s="102">
        <f t="shared" si="1"/>
        <v>136044.988</v>
      </c>
      <c r="G76" s="102">
        <f t="shared" si="1"/>
        <v>136370.864</v>
      </c>
      <c r="H76" s="102">
        <f t="shared" si="1"/>
        <v>137482.9</v>
      </c>
      <c r="I76" s="102">
        <f t="shared" si="1"/>
        <v>137905.144</v>
      </c>
      <c r="J76" s="102">
        <f t="shared" si="1"/>
        <v>138163.816</v>
      </c>
      <c r="K76" s="102">
        <f t="shared" si="1"/>
        <v>137777.076</v>
      </c>
      <c r="L76" s="102">
        <f t="shared" si="1"/>
        <v>137425.84</v>
      </c>
      <c r="M76" s="102">
        <f t="shared" si="1"/>
        <v>136968.092</v>
      </c>
      <c r="N76" s="102">
        <f t="shared" si="1"/>
        <v>136900.888</v>
      </c>
      <c r="O76" s="102">
        <f t="shared" si="1"/>
        <v>135291.796</v>
      </c>
      <c r="P76" s="102">
        <f t="shared" si="1"/>
        <v>134916.468</v>
      </c>
      <c r="Q76" s="102">
        <f t="shared" si="1"/>
        <v>134037.468</v>
      </c>
      <c r="R76" s="102">
        <f t="shared" si="1"/>
        <v>133145.224</v>
      </c>
      <c r="S76" s="102">
        <f t="shared" si="1"/>
        <v>132941.808</v>
      </c>
      <c r="T76" s="102">
        <f t="shared" si="1"/>
        <v>131239.748</v>
      </c>
      <c r="U76" s="102">
        <f t="shared" si="1"/>
        <v>131098.266</v>
      </c>
      <c r="V76" s="102">
        <f t="shared" si="1"/>
        <v>129090.93</v>
      </c>
      <c r="W76" s="102">
        <f t="shared" si="1"/>
        <v>126234.288</v>
      </c>
      <c r="X76" s="102">
        <f t="shared" si="1"/>
        <v>124428.1725</v>
      </c>
    </row>
    <row r="77" spans="2:24" ht="12.75">
      <c r="B77" s="101" t="s">
        <v>10</v>
      </c>
      <c r="C77" s="102">
        <f t="shared" si="2"/>
        <v>85231.5475</v>
      </c>
      <c r="D77" s="102">
        <f t="shared" si="1"/>
        <v>86764.37</v>
      </c>
      <c r="E77" s="102">
        <f t="shared" si="1"/>
        <v>89047.0625</v>
      </c>
      <c r="F77" s="102">
        <f t="shared" si="1"/>
        <v>90921.7375</v>
      </c>
      <c r="G77" s="102">
        <f t="shared" si="1"/>
        <v>92315.6135</v>
      </c>
      <c r="H77" s="102">
        <f t="shared" si="1"/>
        <v>93277.2115</v>
      </c>
      <c r="I77" s="102">
        <f t="shared" si="1"/>
        <v>93689.64</v>
      </c>
      <c r="J77" s="102">
        <f t="shared" si="1"/>
        <v>94404.222</v>
      </c>
      <c r="K77" s="102">
        <f t="shared" si="1"/>
        <v>93965.3275</v>
      </c>
      <c r="L77" s="102">
        <f t="shared" si="1"/>
        <v>94690.937</v>
      </c>
      <c r="M77" s="102">
        <f t="shared" si="1"/>
        <v>94653.4435</v>
      </c>
      <c r="N77" s="102">
        <f t="shared" si="1"/>
        <v>94629.183</v>
      </c>
      <c r="O77" s="102">
        <f t="shared" si="1"/>
        <v>93094.155</v>
      </c>
      <c r="P77" s="102">
        <f t="shared" si="1"/>
        <v>93603.6255</v>
      </c>
      <c r="Q77" s="102">
        <f t="shared" si="1"/>
        <v>91578.6475</v>
      </c>
      <c r="R77" s="102">
        <f t="shared" si="1"/>
        <v>90374.36</v>
      </c>
      <c r="S77" s="102">
        <f t="shared" si="1"/>
        <v>89179.2015</v>
      </c>
      <c r="T77" s="102">
        <f t="shared" si="1"/>
        <v>88378.6335</v>
      </c>
      <c r="U77" s="102">
        <f t="shared" si="1"/>
        <v>88938.921</v>
      </c>
      <c r="V77" s="102">
        <f t="shared" si="1"/>
        <v>88364.0122</v>
      </c>
      <c r="W77" s="102">
        <f t="shared" si="1"/>
        <v>87390.6354</v>
      </c>
      <c r="X77" s="102">
        <f t="shared" si="1"/>
        <v>86573.9084</v>
      </c>
    </row>
    <row r="78" spans="2:24" ht="12.75">
      <c r="B78" s="101" t="s">
        <v>11</v>
      </c>
      <c r="C78" s="102">
        <f t="shared" si="2"/>
        <v>98361.4365</v>
      </c>
      <c r="D78" s="102">
        <f t="shared" si="1"/>
        <v>98787.7665</v>
      </c>
      <c r="E78" s="102">
        <f t="shared" si="1"/>
        <v>98055.9</v>
      </c>
      <c r="F78" s="102">
        <f t="shared" si="1"/>
        <v>97717.2045</v>
      </c>
      <c r="G78" s="102">
        <f t="shared" si="1"/>
        <v>97165.344</v>
      </c>
      <c r="H78" s="102">
        <f t="shared" si="1"/>
        <v>96900.072</v>
      </c>
      <c r="I78" s="102">
        <f t="shared" si="1"/>
        <v>97120.3425</v>
      </c>
      <c r="J78" s="102">
        <f t="shared" si="1"/>
        <v>97416.405</v>
      </c>
      <c r="K78" s="102">
        <f t="shared" si="1"/>
        <v>96890.598</v>
      </c>
      <c r="L78" s="102">
        <f t="shared" si="1"/>
        <v>97207.977</v>
      </c>
      <c r="M78" s="102">
        <f t="shared" si="1"/>
        <v>97977.7395</v>
      </c>
      <c r="N78" s="102">
        <f t="shared" si="1"/>
        <v>97435.353</v>
      </c>
      <c r="O78" s="102">
        <f t="shared" si="1"/>
        <v>96987.7065</v>
      </c>
      <c r="P78" s="102">
        <f t="shared" si="1"/>
        <v>96945.0735</v>
      </c>
      <c r="Q78" s="102">
        <f t="shared" si="1"/>
        <v>96104.0535</v>
      </c>
      <c r="R78" s="102">
        <f t="shared" si="1"/>
        <v>95732.9445</v>
      </c>
      <c r="S78" s="102">
        <f t="shared" si="1"/>
        <v>94963.0385</v>
      </c>
      <c r="T78" s="102">
        <f t="shared" si="1"/>
        <v>93905.4265</v>
      </c>
      <c r="U78" s="102">
        <f t="shared" si="1"/>
        <v>93588.743</v>
      </c>
      <c r="V78" s="102">
        <f aca="true" t="shared" si="3" ref="D78:X90">IF(ISERROR(V47),0,V47)</f>
        <v>91824.8425</v>
      </c>
      <c r="W78" s="102">
        <f t="shared" si="3"/>
        <v>91369.9554</v>
      </c>
      <c r="X78" s="102">
        <f t="shared" si="3"/>
        <v>91135.2478</v>
      </c>
    </row>
    <row r="79" spans="2:24" ht="12.75">
      <c r="B79" s="101" t="s">
        <v>12</v>
      </c>
      <c r="C79" s="102">
        <f t="shared" si="2"/>
        <v>4900.4265</v>
      </c>
      <c r="D79" s="102">
        <f t="shared" si="3"/>
        <v>5478.3405</v>
      </c>
      <c r="E79" s="102">
        <f t="shared" si="3"/>
        <v>5461.761</v>
      </c>
      <c r="F79" s="102">
        <f t="shared" si="3"/>
        <v>5774.403</v>
      </c>
      <c r="G79" s="102">
        <f t="shared" si="3"/>
        <v>6198.3645</v>
      </c>
      <c r="H79" s="102">
        <f t="shared" si="3"/>
        <v>6323.895</v>
      </c>
      <c r="I79" s="102">
        <f t="shared" si="3"/>
        <v>6513.375</v>
      </c>
      <c r="J79" s="102">
        <f t="shared" si="3"/>
        <v>6733.6455</v>
      </c>
      <c r="K79" s="102">
        <f t="shared" si="3"/>
        <v>6889.9665</v>
      </c>
      <c r="L79" s="102">
        <f t="shared" si="3"/>
        <v>6795.2265</v>
      </c>
      <c r="M79" s="102">
        <f t="shared" si="3"/>
        <v>6823.6485</v>
      </c>
      <c r="N79" s="102">
        <f t="shared" si="3"/>
        <v>6541.797</v>
      </c>
      <c r="O79" s="102">
        <f t="shared" si="3"/>
        <v>6210.207</v>
      </c>
      <c r="P79" s="102">
        <f t="shared" si="3"/>
        <v>5897.565</v>
      </c>
      <c r="Q79" s="102">
        <f t="shared" si="3"/>
        <v>6075.6855</v>
      </c>
      <c r="R79" s="102">
        <f t="shared" si="3"/>
        <v>5864.421</v>
      </c>
      <c r="S79" s="102">
        <f t="shared" si="3"/>
        <v>5684.371</v>
      </c>
      <c r="T79" s="102">
        <f t="shared" si="3"/>
        <v>5663.589</v>
      </c>
      <c r="U79" s="102">
        <f t="shared" si="3"/>
        <v>6018.8775</v>
      </c>
      <c r="V79" s="102">
        <f t="shared" si="3"/>
        <v>6058.153</v>
      </c>
      <c r="W79" s="102">
        <f t="shared" si="3"/>
        <v>6319.857</v>
      </c>
      <c r="X79" s="102">
        <f t="shared" si="3"/>
        <v>7177.5355</v>
      </c>
    </row>
    <row r="80" spans="2:24" ht="12.75">
      <c r="B80" s="101" t="s">
        <v>13</v>
      </c>
      <c r="C80" s="102">
        <f t="shared" si="2"/>
        <v>0</v>
      </c>
      <c r="D80" s="102">
        <f t="shared" si="3"/>
        <v>0</v>
      </c>
      <c r="E80" s="102">
        <f t="shared" si="3"/>
        <v>0</v>
      </c>
      <c r="F80" s="102">
        <f t="shared" si="3"/>
        <v>0</v>
      </c>
      <c r="G80" s="102">
        <f t="shared" si="3"/>
        <v>0</v>
      </c>
      <c r="H80" s="102">
        <f t="shared" si="3"/>
        <v>0</v>
      </c>
      <c r="I80" s="102">
        <f t="shared" si="3"/>
        <v>0</v>
      </c>
      <c r="J80" s="102">
        <f t="shared" si="3"/>
        <v>0</v>
      </c>
      <c r="K80" s="102">
        <f t="shared" si="3"/>
        <v>0</v>
      </c>
      <c r="L80" s="102">
        <f t="shared" si="3"/>
        <v>0</v>
      </c>
      <c r="M80" s="102">
        <f t="shared" si="3"/>
        <v>489.6765</v>
      </c>
      <c r="N80" s="102">
        <f t="shared" si="3"/>
        <v>1620.933</v>
      </c>
      <c r="O80" s="102">
        <f t="shared" si="3"/>
        <v>3039.0135</v>
      </c>
      <c r="P80" s="102">
        <f t="shared" si="3"/>
        <v>5113.77</v>
      </c>
      <c r="Q80" s="102">
        <f t="shared" si="3"/>
        <v>7389.492</v>
      </c>
      <c r="R80" s="102">
        <f t="shared" si="3"/>
        <v>9622.6761</v>
      </c>
      <c r="S80" s="102">
        <f t="shared" si="3"/>
        <v>11922.8487</v>
      </c>
      <c r="T80" s="102">
        <f t="shared" si="3"/>
        <v>14397.9425</v>
      </c>
      <c r="U80" s="102">
        <f t="shared" si="3"/>
        <v>17532.0132</v>
      </c>
      <c r="V80" s="102">
        <f t="shared" si="3"/>
        <v>20988.6805</v>
      </c>
      <c r="W80" s="102">
        <f t="shared" si="3"/>
        <v>24011.7468</v>
      </c>
      <c r="X80" s="102">
        <f t="shared" si="3"/>
        <v>27715.566</v>
      </c>
    </row>
    <row r="81" spans="2:24" ht="12.75">
      <c r="B81" s="101" t="s">
        <v>14</v>
      </c>
      <c r="C81" s="102">
        <f t="shared" si="2"/>
        <v>36137.925</v>
      </c>
      <c r="D81" s="102">
        <f t="shared" si="3"/>
        <v>39265.8525</v>
      </c>
      <c r="E81" s="102">
        <f t="shared" si="3"/>
        <v>41078.925</v>
      </c>
      <c r="F81" s="102">
        <f t="shared" si="3"/>
        <v>42083.595</v>
      </c>
      <c r="G81" s="102">
        <f t="shared" si="3"/>
        <v>44279.595</v>
      </c>
      <c r="H81" s="102">
        <f t="shared" si="3"/>
        <v>45761.895</v>
      </c>
      <c r="I81" s="102">
        <f t="shared" si="3"/>
        <v>47830.2525</v>
      </c>
      <c r="J81" s="102">
        <f t="shared" si="3"/>
        <v>49560.975</v>
      </c>
      <c r="K81" s="102">
        <f t="shared" si="3"/>
        <v>52080.885</v>
      </c>
      <c r="L81" s="102">
        <f t="shared" si="3"/>
        <v>54385.3125</v>
      </c>
      <c r="M81" s="102">
        <f t="shared" si="3"/>
        <v>56991.69</v>
      </c>
      <c r="N81" s="102">
        <f t="shared" si="3"/>
        <v>59581.5975</v>
      </c>
      <c r="O81" s="102">
        <f t="shared" si="3"/>
        <v>61180.56</v>
      </c>
      <c r="P81" s="102">
        <f t="shared" si="3"/>
        <v>62651.88</v>
      </c>
      <c r="Q81" s="102">
        <f t="shared" si="3"/>
        <v>64146.5325</v>
      </c>
      <c r="R81" s="102">
        <f t="shared" si="3"/>
        <v>65399.625</v>
      </c>
      <c r="S81" s="102">
        <f t="shared" si="3"/>
        <v>66501.7425</v>
      </c>
      <c r="T81" s="102">
        <f t="shared" si="3"/>
        <v>67742.4825</v>
      </c>
      <c r="U81" s="102">
        <f t="shared" si="3"/>
        <v>69253.605</v>
      </c>
      <c r="V81" s="102">
        <f t="shared" si="3"/>
        <v>69915.15</v>
      </c>
      <c r="W81" s="102">
        <f t="shared" si="3"/>
        <v>70512.1875</v>
      </c>
      <c r="X81" s="102">
        <f t="shared" si="3"/>
        <v>71709.0075</v>
      </c>
    </row>
    <row r="82" spans="2:24" ht="12.75">
      <c r="B82" s="101" t="s">
        <v>15</v>
      </c>
      <c r="C82" s="102">
        <f t="shared" si="2"/>
        <v>6221.073</v>
      </c>
      <c r="D82" s="102">
        <f t="shared" si="3"/>
        <v>6853.338</v>
      </c>
      <c r="E82" s="102">
        <f t="shared" si="3"/>
        <v>7232.697</v>
      </c>
      <c r="F82" s="102">
        <f t="shared" si="3"/>
        <v>7479.384</v>
      </c>
      <c r="G82" s="102">
        <f t="shared" si="3"/>
        <v>7844.232</v>
      </c>
      <c r="H82" s="102">
        <f t="shared" si="3"/>
        <v>8153.109</v>
      </c>
      <c r="I82" s="102">
        <f t="shared" si="3"/>
        <v>8213.226</v>
      </c>
      <c r="J82" s="102">
        <f t="shared" si="3"/>
        <v>8497.227</v>
      </c>
      <c r="K82" s="102">
        <f t="shared" si="3"/>
        <v>8830.98</v>
      </c>
      <c r="L82" s="102">
        <f t="shared" si="3"/>
        <v>9282.894</v>
      </c>
      <c r="M82" s="102">
        <f t="shared" si="3"/>
        <v>9459.099</v>
      </c>
      <c r="N82" s="102">
        <f t="shared" si="3"/>
        <v>9670.545</v>
      </c>
      <c r="O82" s="102">
        <f t="shared" si="3"/>
        <v>9765.903</v>
      </c>
      <c r="P82" s="102">
        <f t="shared" si="3"/>
        <v>10213.671</v>
      </c>
      <c r="Q82" s="102">
        <f t="shared" si="3"/>
        <v>10377.438</v>
      </c>
      <c r="R82" s="102">
        <f t="shared" si="3"/>
        <v>10800.33</v>
      </c>
      <c r="S82" s="102">
        <f t="shared" si="3"/>
        <v>11403.573</v>
      </c>
      <c r="T82" s="102">
        <f t="shared" si="3"/>
        <v>11436.741</v>
      </c>
      <c r="U82" s="102">
        <f t="shared" si="3"/>
        <v>12346.788</v>
      </c>
      <c r="V82" s="102">
        <f t="shared" si="3"/>
        <v>12280.452</v>
      </c>
      <c r="W82" s="102">
        <f t="shared" si="3"/>
        <v>12319.839</v>
      </c>
      <c r="X82" s="102">
        <f t="shared" si="3"/>
        <v>12647.373</v>
      </c>
    </row>
    <row r="83" spans="2:24" ht="12.75">
      <c r="B83" s="101" t="s">
        <v>16</v>
      </c>
      <c r="C83" s="102">
        <f t="shared" si="2"/>
        <v>3487.003</v>
      </c>
      <c r="D83" s="102">
        <f t="shared" si="3"/>
        <v>5456.0545</v>
      </c>
      <c r="E83" s="102">
        <f t="shared" si="3"/>
        <v>8385.949</v>
      </c>
      <c r="F83" s="102">
        <f t="shared" si="3"/>
        <v>11004.5845</v>
      </c>
      <c r="G83" s="102">
        <f t="shared" si="3"/>
        <v>14297.6145</v>
      </c>
      <c r="H83" s="102">
        <f t="shared" si="3"/>
        <v>18546.9765</v>
      </c>
      <c r="I83" s="102">
        <f t="shared" si="3"/>
        <v>22913.6245</v>
      </c>
      <c r="J83" s="102">
        <f t="shared" si="3"/>
        <v>27160.731</v>
      </c>
      <c r="K83" s="102">
        <f t="shared" si="3"/>
        <v>32271.694</v>
      </c>
      <c r="L83" s="102">
        <f t="shared" si="3"/>
        <v>37569.8635</v>
      </c>
      <c r="M83" s="102">
        <f t="shared" si="3"/>
        <v>43192.825</v>
      </c>
      <c r="N83" s="102">
        <f t="shared" si="3"/>
        <v>48457.162</v>
      </c>
      <c r="O83" s="102">
        <f t="shared" si="3"/>
        <v>51849.434</v>
      </c>
      <c r="P83" s="102">
        <f t="shared" si="3"/>
        <v>56083.0075</v>
      </c>
      <c r="Q83" s="102">
        <f t="shared" si="3"/>
        <v>59416.6365</v>
      </c>
      <c r="R83" s="102">
        <f t="shared" si="3"/>
        <v>62761.543</v>
      </c>
      <c r="S83" s="102">
        <f t="shared" si="3"/>
        <v>65441.077</v>
      </c>
      <c r="T83" s="102">
        <f t="shared" si="3"/>
        <v>66999.6275</v>
      </c>
      <c r="U83" s="102">
        <f t="shared" si="3"/>
        <v>69848.324</v>
      </c>
      <c r="V83" s="102">
        <f t="shared" si="3"/>
        <v>72397.039</v>
      </c>
      <c r="W83" s="102">
        <f t="shared" si="3"/>
        <v>72843.628</v>
      </c>
      <c r="X83" s="102">
        <f t="shared" si="3"/>
        <v>74332.258</v>
      </c>
    </row>
    <row r="84" spans="2:24" ht="12.75">
      <c r="B84" s="101" t="s">
        <v>17</v>
      </c>
      <c r="C84" s="102">
        <f t="shared" si="2"/>
        <v>0</v>
      </c>
      <c r="D84" s="102">
        <f t="shared" si="3"/>
        <v>0</v>
      </c>
      <c r="E84" s="102">
        <f t="shared" si="3"/>
        <v>0</v>
      </c>
      <c r="F84" s="102">
        <f t="shared" si="3"/>
        <v>0</v>
      </c>
      <c r="G84" s="102">
        <f t="shared" si="3"/>
        <v>0</v>
      </c>
      <c r="H84" s="102">
        <f t="shared" si="3"/>
        <v>0</v>
      </c>
      <c r="I84" s="102">
        <f t="shared" si="3"/>
        <v>0</v>
      </c>
      <c r="J84" s="102">
        <f t="shared" si="3"/>
        <v>0</v>
      </c>
      <c r="K84" s="102">
        <f t="shared" si="3"/>
        <v>0</v>
      </c>
      <c r="L84" s="102">
        <f t="shared" si="3"/>
        <v>121.48</v>
      </c>
      <c r="M84" s="102">
        <f t="shared" si="3"/>
        <v>604.363</v>
      </c>
      <c r="N84" s="102">
        <f t="shared" si="3"/>
        <v>1907.236</v>
      </c>
      <c r="O84" s="102">
        <f t="shared" si="3"/>
        <v>3213.146</v>
      </c>
      <c r="P84" s="102">
        <f t="shared" si="3"/>
        <v>4847.052</v>
      </c>
      <c r="Q84" s="102">
        <f t="shared" si="3"/>
        <v>6739.103</v>
      </c>
      <c r="R84" s="102">
        <f t="shared" si="3"/>
        <v>8831.596</v>
      </c>
      <c r="S84" s="102">
        <f t="shared" si="3"/>
        <v>10887.645</v>
      </c>
      <c r="T84" s="102">
        <f t="shared" si="3"/>
        <v>13016.582</v>
      </c>
      <c r="U84" s="102">
        <f t="shared" si="3"/>
        <v>15315.591</v>
      </c>
      <c r="V84" s="102">
        <f t="shared" si="3"/>
        <v>17389.862</v>
      </c>
      <c r="W84" s="102">
        <f t="shared" si="3"/>
        <v>19445.911</v>
      </c>
      <c r="X84" s="102">
        <f t="shared" si="3"/>
        <v>22385.727</v>
      </c>
    </row>
    <row r="85" spans="2:24" ht="12.75">
      <c r="B85" s="101" t="s">
        <v>18</v>
      </c>
      <c r="C85" s="102">
        <f t="shared" si="2"/>
        <v>0</v>
      </c>
      <c r="D85" s="102">
        <f t="shared" si="3"/>
        <v>0</v>
      </c>
      <c r="E85" s="102">
        <f t="shared" si="3"/>
        <v>0</v>
      </c>
      <c r="F85" s="102">
        <f t="shared" si="3"/>
        <v>0</v>
      </c>
      <c r="G85" s="102">
        <f t="shared" si="3"/>
        <v>0</v>
      </c>
      <c r="H85" s="102">
        <f t="shared" si="3"/>
        <v>0</v>
      </c>
      <c r="I85" s="102">
        <f t="shared" si="3"/>
        <v>0</v>
      </c>
      <c r="J85" s="102">
        <f t="shared" si="3"/>
        <v>0</v>
      </c>
      <c r="K85" s="102">
        <f t="shared" si="3"/>
        <v>0</v>
      </c>
      <c r="L85" s="102">
        <f t="shared" si="3"/>
        <v>0</v>
      </c>
      <c r="M85" s="102">
        <f t="shared" si="3"/>
        <v>472.416</v>
      </c>
      <c r="N85" s="102">
        <f t="shared" si="3"/>
        <v>1037.184</v>
      </c>
      <c r="O85" s="102">
        <f t="shared" si="3"/>
        <v>1552.224</v>
      </c>
      <c r="P85" s="102">
        <f t="shared" si="3"/>
        <v>2937.504</v>
      </c>
      <c r="Q85" s="102">
        <f t="shared" si="3"/>
        <v>4159.392</v>
      </c>
      <c r="R85" s="102">
        <f t="shared" si="3"/>
        <v>5757.792</v>
      </c>
      <c r="S85" s="102">
        <f t="shared" si="3"/>
        <v>7523.136</v>
      </c>
      <c r="T85" s="102">
        <f t="shared" si="3"/>
        <v>9451.872</v>
      </c>
      <c r="U85" s="102">
        <f t="shared" si="3"/>
        <v>12250.848</v>
      </c>
      <c r="V85" s="102">
        <f t="shared" si="3"/>
        <v>14250.624</v>
      </c>
      <c r="W85" s="102">
        <f t="shared" si="3"/>
        <v>15987.552</v>
      </c>
      <c r="X85" s="102">
        <f t="shared" si="3"/>
        <v>18193.344</v>
      </c>
    </row>
    <row r="86" spans="2:24" ht="12.75">
      <c r="B86" s="101" t="s">
        <v>19</v>
      </c>
      <c r="C86" s="102">
        <f t="shared" si="2"/>
        <v>1043.8</v>
      </c>
      <c r="D86" s="102">
        <f t="shared" si="3"/>
        <v>1156.776</v>
      </c>
      <c r="E86" s="102">
        <f t="shared" si="3"/>
        <v>1173.968</v>
      </c>
      <c r="F86" s="102">
        <f t="shared" si="3"/>
        <v>1223.088</v>
      </c>
      <c r="G86" s="102">
        <f t="shared" si="3"/>
        <v>1313.346</v>
      </c>
      <c r="H86" s="102">
        <f t="shared" si="3"/>
        <v>1410.972</v>
      </c>
      <c r="I86" s="102">
        <f t="shared" si="3"/>
        <v>1432.462</v>
      </c>
      <c r="J86" s="102">
        <f t="shared" si="3"/>
        <v>1425.094</v>
      </c>
      <c r="K86" s="102">
        <f t="shared" si="3"/>
        <v>1465.618</v>
      </c>
      <c r="L86" s="102">
        <f t="shared" si="3"/>
        <v>1506.142</v>
      </c>
      <c r="M86" s="102">
        <f t="shared" si="3"/>
        <v>1558.946</v>
      </c>
      <c r="N86" s="102">
        <f t="shared" si="3"/>
        <v>1534.386</v>
      </c>
      <c r="O86" s="102">
        <f t="shared" si="3"/>
        <v>1550.964</v>
      </c>
      <c r="P86" s="102">
        <f t="shared" si="3"/>
        <v>1522.72</v>
      </c>
      <c r="Q86" s="102">
        <f t="shared" si="3"/>
        <v>1550.35</v>
      </c>
      <c r="R86" s="102">
        <f t="shared" si="3"/>
        <v>1537.456</v>
      </c>
      <c r="S86" s="102">
        <f t="shared" si="3"/>
        <v>1547.894</v>
      </c>
      <c r="T86" s="102">
        <f t="shared" si="3"/>
        <v>1530.702</v>
      </c>
      <c r="U86" s="102">
        <f t="shared" si="3"/>
        <v>1594.558</v>
      </c>
      <c r="V86" s="102">
        <f t="shared" si="3"/>
        <v>1654.73</v>
      </c>
      <c r="W86" s="102">
        <f t="shared" si="3"/>
        <v>1643.064</v>
      </c>
      <c r="X86" s="102">
        <f t="shared" si="3"/>
        <v>1633.854</v>
      </c>
    </row>
    <row r="87" spans="2:24" ht="12.75">
      <c r="B87" s="101" t="s">
        <v>20</v>
      </c>
      <c r="C87" s="102">
        <f t="shared" si="2"/>
        <v>6235.5175</v>
      </c>
      <c r="D87" s="102">
        <f t="shared" si="3"/>
        <v>6346.3565</v>
      </c>
      <c r="E87" s="102">
        <f t="shared" si="3"/>
        <v>6210.8115</v>
      </c>
      <c r="F87" s="102">
        <f t="shared" si="3"/>
        <v>6126.0685</v>
      </c>
      <c r="G87" s="102">
        <f t="shared" si="3"/>
        <v>5973.785</v>
      </c>
      <c r="H87" s="102">
        <f t="shared" si="3"/>
        <v>5943.525</v>
      </c>
      <c r="I87" s="102">
        <f t="shared" si="3"/>
        <v>5941.668</v>
      </c>
      <c r="J87" s="102">
        <f t="shared" si="3"/>
        <v>5828.02</v>
      </c>
      <c r="K87" s="102">
        <f t="shared" si="3"/>
        <v>5766.342</v>
      </c>
      <c r="L87" s="102">
        <f t="shared" si="3"/>
        <v>5648.334</v>
      </c>
      <c r="M87" s="102">
        <f t="shared" si="3"/>
        <v>5666.128</v>
      </c>
      <c r="N87" s="102">
        <f t="shared" si="3"/>
        <v>5516.5455</v>
      </c>
      <c r="O87" s="102">
        <f t="shared" si="3"/>
        <v>5386.4915</v>
      </c>
      <c r="P87" s="102">
        <f t="shared" si="3"/>
        <v>5287.5545</v>
      </c>
      <c r="Q87" s="102">
        <f t="shared" si="3"/>
        <v>5255.3475</v>
      </c>
      <c r="R87" s="102">
        <f t="shared" si="3"/>
        <v>5242.145</v>
      </c>
      <c r="S87" s="102">
        <f t="shared" si="3"/>
        <v>5217.783</v>
      </c>
      <c r="T87" s="102">
        <f t="shared" si="3"/>
        <v>5143.2105</v>
      </c>
      <c r="U87" s="102">
        <f t="shared" si="3"/>
        <v>5046.526</v>
      </c>
      <c r="V87" s="102">
        <f t="shared" si="3"/>
        <v>5064.7015</v>
      </c>
      <c r="W87" s="102">
        <f t="shared" si="3"/>
        <v>4917.927</v>
      </c>
      <c r="X87" s="102">
        <f t="shared" si="3"/>
        <v>4852.0655</v>
      </c>
    </row>
    <row r="88" spans="2:24" ht="12.75">
      <c r="B88" s="101" t="s">
        <v>21</v>
      </c>
      <c r="C88" s="102">
        <f t="shared" si="2"/>
        <v>668.7365</v>
      </c>
      <c r="D88" s="102">
        <f t="shared" si="3"/>
        <v>678.776</v>
      </c>
      <c r="E88" s="102">
        <f t="shared" si="3"/>
        <v>650.0605</v>
      </c>
      <c r="F88" s="102">
        <f t="shared" si="3"/>
        <v>609.362</v>
      </c>
      <c r="G88" s="102">
        <f t="shared" si="3"/>
        <v>609.891</v>
      </c>
      <c r="H88" s="102">
        <f t="shared" si="3"/>
        <v>605.2795</v>
      </c>
      <c r="I88" s="102">
        <f t="shared" si="3"/>
        <v>610.9835</v>
      </c>
      <c r="J88" s="102">
        <f t="shared" si="3"/>
        <v>615.6985</v>
      </c>
      <c r="K88" s="102">
        <f t="shared" si="3"/>
        <v>635.168</v>
      </c>
      <c r="L88" s="102">
        <f t="shared" si="3"/>
        <v>644.345</v>
      </c>
      <c r="M88" s="102">
        <f t="shared" si="3"/>
        <v>650.532</v>
      </c>
      <c r="N88" s="102">
        <f t="shared" si="3"/>
        <v>641.516</v>
      </c>
      <c r="O88" s="102">
        <f t="shared" si="3"/>
        <v>643.494</v>
      </c>
      <c r="P88" s="102">
        <f t="shared" si="3"/>
        <v>634.3515</v>
      </c>
      <c r="Q88" s="102">
        <f t="shared" si="3"/>
        <v>630.7175</v>
      </c>
      <c r="R88" s="102">
        <f t="shared" si="3"/>
        <v>637.951</v>
      </c>
      <c r="S88" s="102">
        <f t="shared" si="3"/>
        <v>643.241</v>
      </c>
      <c r="T88" s="102">
        <f t="shared" si="3"/>
        <v>631.1085</v>
      </c>
      <c r="U88" s="102">
        <f t="shared" si="3"/>
        <v>642.6085</v>
      </c>
      <c r="V88" s="102">
        <f t="shared" si="3"/>
        <v>635.4785</v>
      </c>
      <c r="W88" s="102">
        <f t="shared" si="3"/>
        <v>618.585</v>
      </c>
      <c r="X88" s="102">
        <f t="shared" si="3"/>
        <v>604.4975</v>
      </c>
    </row>
    <row r="89" spans="2:24" ht="12.75">
      <c r="B89" s="101" t="s">
        <v>22</v>
      </c>
      <c r="C89" s="102">
        <f t="shared" si="2"/>
        <v>984.753</v>
      </c>
      <c r="D89" s="102">
        <f t="shared" si="3"/>
        <v>957.313</v>
      </c>
      <c r="E89" s="102">
        <f t="shared" si="3"/>
        <v>952.854</v>
      </c>
      <c r="F89" s="102">
        <f t="shared" si="3"/>
        <v>968.975</v>
      </c>
      <c r="G89" s="102">
        <f t="shared" si="3"/>
        <v>959.714</v>
      </c>
      <c r="H89" s="102">
        <f t="shared" si="3"/>
        <v>971.033</v>
      </c>
      <c r="I89" s="102">
        <f t="shared" si="3"/>
        <v>943.936</v>
      </c>
      <c r="J89" s="102">
        <f t="shared" si="3"/>
        <v>948.395</v>
      </c>
      <c r="K89" s="102">
        <f t="shared" si="3"/>
        <v>948.395</v>
      </c>
      <c r="L89" s="102">
        <f t="shared" si="3"/>
        <v>939.477</v>
      </c>
      <c r="M89" s="102">
        <f t="shared" si="3"/>
        <v>915.124</v>
      </c>
      <c r="N89" s="102">
        <f t="shared" si="3"/>
        <v>928.501</v>
      </c>
      <c r="O89" s="102">
        <f t="shared" si="3"/>
        <v>928.501</v>
      </c>
      <c r="P89" s="102">
        <f t="shared" si="3"/>
        <v>978.236</v>
      </c>
      <c r="Q89" s="102">
        <f t="shared" si="3"/>
        <v>1000.874</v>
      </c>
      <c r="R89" s="102">
        <f t="shared" si="3"/>
        <v>1022.826</v>
      </c>
      <c r="S89" s="102">
        <f t="shared" si="3"/>
        <v>1045.464</v>
      </c>
      <c r="T89" s="102">
        <f t="shared" si="3"/>
        <v>1056.783</v>
      </c>
      <c r="U89" s="102">
        <f t="shared" si="3"/>
        <v>1058.841</v>
      </c>
      <c r="V89" s="102">
        <f t="shared" si="3"/>
        <v>1029.343</v>
      </c>
      <c r="W89" s="102">
        <f t="shared" si="3"/>
        <v>1043.063</v>
      </c>
      <c r="X89" s="102">
        <f t="shared" si="3"/>
        <v>1065.358</v>
      </c>
    </row>
    <row r="90" spans="2:24" ht="12.75">
      <c r="B90" s="101" t="s">
        <v>23</v>
      </c>
      <c r="C90" s="102">
        <f t="shared" si="2"/>
        <v>0</v>
      </c>
      <c r="D90" s="102">
        <f t="shared" si="3"/>
        <v>0</v>
      </c>
      <c r="E90" s="102">
        <f t="shared" si="3"/>
        <v>0</v>
      </c>
      <c r="F90" s="102">
        <f t="shared" si="3"/>
        <v>0</v>
      </c>
      <c r="G90" s="102">
        <f t="shared" si="3"/>
        <v>0</v>
      </c>
      <c r="H90" s="102">
        <f t="shared" si="3"/>
        <v>0</v>
      </c>
      <c r="I90" s="102">
        <f t="shared" si="3"/>
        <v>0</v>
      </c>
      <c r="J90" s="102">
        <f t="shared" si="3"/>
        <v>0</v>
      </c>
      <c r="K90" s="102">
        <f t="shared" si="3"/>
        <v>0</v>
      </c>
      <c r="L90" s="102">
        <f t="shared" si="3"/>
        <v>0</v>
      </c>
      <c r="M90" s="102">
        <f t="shared" si="3"/>
        <v>0</v>
      </c>
      <c r="N90" s="102">
        <f t="shared" si="3"/>
        <v>285.2235</v>
      </c>
      <c r="O90" s="102">
        <f t="shared" si="3"/>
        <v>831.606</v>
      </c>
      <c r="P90" s="102">
        <f t="shared" si="3"/>
        <v>1769.3325</v>
      </c>
      <c r="Q90" s="102">
        <f t="shared" si="3"/>
        <v>2954.4105</v>
      </c>
      <c r="R90" s="102">
        <f t="shared" si="3"/>
        <v>4209.7095</v>
      </c>
      <c r="S90" s="102">
        <f t="shared" si="3"/>
        <v>5706.837</v>
      </c>
      <c r="T90" s="102">
        <f t="shared" si="3"/>
        <v>7197.258</v>
      </c>
      <c r="U90" s="102">
        <f t="shared" si="3"/>
        <v>8856.1305</v>
      </c>
      <c r="V90" s="102">
        <f t="shared" si="3"/>
        <v>10474.3695</v>
      </c>
      <c r="W90" s="102">
        <f t="shared" si="3"/>
        <v>12170.325</v>
      </c>
      <c r="X90" s="102">
        <f t="shared" si="3"/>
        <v>14136.1185</v>
      </c>
    </row>
    <row r="91" spans="2:24" ht="12.75">
      <c r="B91" s="101" t="s">
        <v>24</v>
      </c>
      <c r="C91" s="102">
        <f t="shared" si="2"/>
        <v>66997.4735</v>
      </c>
      <c r="D91" s="102">
        <f aca="true" t="shared" si="4" ref="D91:X94">IF(ISERROR(D60),0,D60)</f>
        <v>68618.1535</v>
      </c>
      <c r="E91" s="102">
        <f t="shared" si="4"/>
        <v>68798.5195</v>
      </c>
      <c r="F91" s="102">
        <f t="shared" si="4"/>
        <v>69482.734</v>
      </c>
      <c r="G91" s="102">
        <f t="shared" si="4"/>
        <v>70133.62</v>
      </c>
      <c r="H91" s="102">
        <f t="shared" si="4"/>
        <v>70812.6065</v>
      </c>
      <c r="I91" s="102">
        <f t="shared" si="4"/>
        <v>71254.3725</v>
      </c>
      <c r="J91" s="102">
        <f t="shared" si="4"/>
        <v>71514.4655</v>
      </c>
      <c r="K91" s="102">
        <f t="shared" si="4"/>
        <v>71650.3935</v>
      </c>
      <c r="L91" s="102">
        <f t="shared" si="4"/>
        <v>71613.144</v>
      </c>
      <c r="M91" s="102">
        <f t="shared" si="4"/>
        <v>71192.9435</v>
      </c>
      <c r="N91" s="102">
        <f t="shared" si="4"/>
        <v>70477.361</v>
      </c>
      <c r="O91" s="102">
        <f t="shared" si="4"/>
        <v>68699.1875</v>
      </c>
      <c r="P91" s="102">
        <f t="shared" si="4"/>
        <v>67033.416</v>
      </c>
      <c r="Q91" s="102">
        <f t="shared" si="4"/>
        <v>64917.637</v>
      </c>
      <c r="R91" s="102">
        <f t="shared" si="4"/>
        <v>62136.5165</v>
      </c>
      <c r="S91" s="102">
        <f t="shared" si="4"/>
        <v>59414.8655</v>
      </c>
      <c r="T91" s="102">
        <f t="shared" si="4"/>
        <v>56288.097</v>
      </c>
      <c r="U91" s="102">
        <f t="shared" si="4"/>
        <v>53213.2965</v>
      </c>
      <c r="V91" s="102">
        <f t="shared" si="4"/>
        <v>49358.2735</v>
      </c>
      <c r="W91" s="102">
        <f t="shared" si="4"/>
        <v>45578.56</v>
      </c>
      <c r="X91" s="102">
        <f t="shared" si="4"/>
        <v>42167.1185</v>
      </c>
    </row>
    <row r="92" spans="2:24" ht="12.75">
      <c r="B92" s="101" t="s">
        <v>25</v>
      </c>
      <c r="C92" s="102">
        <f t="shared" si="2"/>
        <v>30444.959</v>
      </c>
      <c r="D92" s="102">
        <f t="shared" si="4"/>
        <v>30489.9445</v>
      </c>
      <c r="E92" s="102">
        <f t="shared" si="4"/>
        <v>30119.298</v>
      </c>
      <c r="F92" s="102">
        <f t="shared" si="4"/>
        <v>29887.264</v>
      </c>
      <c r="G92" s="102">
        <f t="shared" si="4"/>
        <v>29743.766</v>
      </c>
      <c r="H92" s="102">
        <f t="shared" si="4"/>
        <v>29681.239</v>
      </c>
      <c r="I92" s="102">
        <f t="shared" si="4"/>
        <v>29403.761</v>
      </c>
      <c r="J92" s="102">
        <f t="shared" si="4"/>
        <v>28984.271</v>
      </c>
      <c r="K92" s="102">
        <f t="shared" si="4"/>
        <v>28900.4865</v>
      </c>
      <c r="L92" s="102">
        <f t="shared" si="4"/>
        <v>28892.0055</v>
      </c>
      <c r="M92" s="102">
        <f t="shared" si="4"/>
        <v>29169.284</v>
      </c>
      <c r="N92" s="102">
        <f t="shared" si="4"/>
        <v>28797.278</v>
      </c>
      <c r="O92" s="102">
        <f t="shared" si="4"/>
        <v>28419.8485</v>
      </c>
      <c r="P92" s="102">
        <f t="shared" si="4"/>
        <v>28293.5845</v>
      </c>
      <c r="Q92" s="102">
        <f t="shared" si="4"/>
        <v>28023.29</v>
      </c>
      <c r="R92" s="102">
        <f t="shared" si="4"/>
        <v>27667.513</v>
      </c>
      <c r="S92" s="102">
        <f t="shared" si="4"/>
        <v>27263.3235</v>
      </c>
      <c r="T92" s="102">
        <f t="shared" si="4"/>
        <v>26846.468</v>
      </c>
      <c r="U92" s="102">
        <f t="shared" si="4"/>
        <v>26837.811</v>
      </c>
      <c r="V92" s="102">
        <f t="shared" si="4"/>
        <v>26554.8875</v>
      </c>
      <c r="W92" s="102">
        <f t="shared" si="4"/>
        <v>25965.203</v>
      </c>
      <c r="X92" s="102">
        <f t="shared" si="4"/>
        <v>25771.4355</v>
      </c>
    </row>
    <row r="93" spans="2:24" ht="12.75">
      <c r="B93" s="101" t="s">
        <v>26</v>
      </c>
      <c r="C93" s="102">
        <f t="shared" si="2"/>
        <v>5858.0725</v>
      </c>
      <c r="D93" s="102">
        <f t="shared" si="4"/>
        <v>5915.014</v>
      </c>
      <c r="E93" s="102">
        <f t="shared" si="4"/>
        <v>5746.901</v>
      </c>
      <c r="F93" s="102">
        <f t="shared" si="4"/>
        <v>5602.945</v>
      </c>
      <c r="G93" s="102">
        <f t="shared" si="4"/>
        <v>5633.511</v>
      </c>
      <c r="H93" s="102">
        <f t="shared" si="4"/>
        <v>5620.4465</v>
      </c>
      <c r="I93" s="102">
        <f t="shared" si="4"/>
        <v>5651.259</v>
      </c>
      <c r="J93" s="102">
        <f t="shared" si="4"/>
        <v>5617.242</v>
      </c>
      <c r="K93" s="102">
        <f t="shared" si="4"/>
        <v>5564.7375</v>
      </c>
      <c r="L93" s="102">
        <f t="shared" si="4"/>
        <v>5597.029</v>
      </c>
      <c r="M93" s="102">
        <f t="shared" si="4"/>
        <v>5552.659</v>
      </c>
      <c r="N93" s="102">
        <f t="shared" si="4"/>
        <v>5525.544</v>
      </c>
      <c r="O93" s="102">
        <f t="shared" si="4"/>
        <v>5532.446</v>
      </c>
      <c r="P93" s="102">
        <f t="shared" si="4"/>
        <v>5436.311</v>
      </c>
      <c r="Q93" s="102">
        <f t="shared" si="4"/>
        <v>5441.9805</v>
      </c>
      <c r="R93" s="102">
        <f t="shared" si="4"/>
        <v>5394.6525</v>
      </c>
      <c r="S93" s="102">
        <f t="shared" si="4"/>
        <v>5384.546</v>
      </c>
      <c r="T93" s="102">
        <f t="shared" si="4"/>
        <v>5294.327</v>
      </c>
      <c r="U93" s="102">
        <f t="shared" si="4"/>
        <v>5242.069</v>
      </c>
      <c r="V93" s="102">
        <f t="shared" si="4"/>
        <v>5201.643</v>
      </c>
      <c r="W93" s="102">
        <f t="shared" si="4"/>
        <v>5059.659</v>
      </c>
      <c r="X93" s="102">
        <f t="shared" si="4"/>
        <v>5006.908</v>
      </c>
    </row>
    <row r="94" spans="2:24" ht="12.75">
      <c r="B94" s="101" t="s">
        <v>107</v>
      </c>
      <c r="C94" s="102">
        <f t="shared" si="2"/>
        <v>0</v>
      </c>
      <c r="D94" s="102">
        <f t="shared" si="4"/>
        <v>0</v>
      </c>
      <c r="E94" s="102">
        <f t="shared" si="4"/>
        <v>0</v>
      </c>
      <c r="F94" s="102">
        <f t="shared" si="4"/>
        <v>0</v>
      </c>
      <c r="G94" s="102">
        <f t="shared" si="4"/>
        <v>0</v>
      </c>
      <c r="H94" s="102">
        <f t="shared" si="4"/>
        <v>0</v>
      </c>
      <c r="I94" s="102">
        <f t="shared" si="4"/>
        <v>0</v>
      </c>
      <c r="J94" s="102">
        <f t="shared" si="4"/>
        <v>0</v>
      </c>
      <c r="K94" s="102">
        <f t="shared" si="4"/>
        <v>0</v>
      </c>
      <c r="L94" s="102">
        <f t="shared" si="4"/>
        <v>0</v>
      </c>
      <c r="M94" s="102">
        <f t="shared" si="4"/>
        <v>0</v>
      </c>
      <c r="N94" s="102">
        <f t="shared" si="4"/>
        <v>0</v>
      </c>
      <c r="O94" s="102">
        <f t="shared" si="4"/>
        <v>0</v>
      </c>
      <c r="P94" s="102">
        <f t="shared" si="4"/>
        <v>0</v>
      </c>
      <c r="Q94" s="102">
        <f t="shared" si="4"/>
        <v>0</v>
      </c>
      <c r="R94" s="102">
        <f t="shared" si="4"/>
        <v>0</v>
      </c>
      <c r="S94" s="102">
        <f t="shared" si="4"/>
        <v>0</v>
      </c>
      <c r="T94" s="102">
        <f t="shared" si="4"/>
        <v>0</v>
      </c>
      <c r="U94" s="102">
        <f t="shared" si="4"/>
        <v>0</v>
      </c>
      <c r="V94" s="102">
        <f t="shared" si="4"/>
        <v>0</v>
      </c>
      <c r="W94" s="102">
        <f t="shared" si="4"/>
        <v>0</v>
      </c>
      <c r="X94" s="102">
        <f t="shared" si="4"/>
        <v>120.168</v>
      </c>
    </row>
    <row r="95" spans="2:17" ht="12.75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spans="2:24" ht="13.5" thickBot="1">
      <c r="B96" s="9" t="s">
        <v>0</v>
      </c>
      <c r="C96" s="12">
        <v>38443</v>
      </c>
      <c r="D96" s="12">
        <v>38473</v>
      </c>
      <c r="E96" s="12">
        <v>38504</v>
      </c>
      <c r="F96" s="12">
        <v>38534</v>
      </c>
      <c r="G96" s="12">
        <v>38565</v>
      </c>
      <c r="H96" s="12">
        <v>38596</v>
      </c>
      <c r="I96" s="12">
        <v>38626</v>
      </c>
      <c r="J96" s="12">
        <v>38657</v>
      </c>
      <c r="K96" s="12">
        <v>38687</v>
      </c>
      <c r="L96" s="12">
        <v>38718</v>
      </c>
      <c r="M96" s="12">
        <v>38749</v>
      </c>
      <c r="N96" s="12">
        <v>38777</v>
      </c>
      <c r="O96" s="12">
        <v>38808</v>
      </c>
      <c r="P96" s="12">
        <v>38838</v>
      </c>
      <c r="Q96" s="12">
        <v>38869</v>
      </c>
      <c r="R96" s="12">
        <v>38899</v>
      </c>
      <c r="S96" s="12">
        <v>38930</v>
      </c>
      <c r="T96" s="12">
        <v>38961</v>
      </c>
      <c r="U96" s="12">
        <v>38991</v>
      </c>
      <c r="V96" s="12">
        <v>39022</v>
      </c>
      <c r="W96" s="12">
        <v>39052</v>
      </c>
      <c r="X96" s="12">
        <v>39083</v>
      </c>
    </row>
    <row r="97" spans="2:24" ht="13.5" thickTop="1">
      <c r="B97" s="7" t="s">
        <v>27</v>
      </c>
      <c r="C97" s="8">
        <f>SUM(C66:C68)</f>
        <v>174035.458</v>
      </c>
      <c r="D97" s="8">
        <f aca="true" t="shared" si="5" ref="D97:X97">SUM(D66:D68)</f>
        <v>176212.62</v>
      </c>
      <c r="E97" s="8">
        <f t="shared" si="5"/>
        <v>173647.673</v>
      </c>
      <c r="F97" s="8">
        <f t="shared" si="5"/>
        <v>172082.26750000002</v>
      </c>
      <c r="G97" s="8">
        <f t="shared" si="5"/>
        <v>171086.705</v>
      </c>
      <c r="H97" s="8">
        <f t="shared" si="5"/>
        <v>169557.078</v>
      </c>
      <c r="I97" s="8">
        <f t="shared" si="5"/>
        <v>168108.3355</v>
      </c>
      <c r="J97" s="8">
        <f t="shared" si="5"/>
        <v>167247.202</v>
      </c>
      <c r="K97" s="8">
        <f t="shared" si="5"/>
        <v>166213.332</v>
      </c>
      <c r="L97" s="8">
        <f t="shared" si="5"/>
        <v>165467.404</v>
      </c>
      <c r="M97" s="8">
        <f t="shared" si="5"/>
        <v>164449.997</v>
      </c>
      <c r="N97" s="8">
        <f t="shared" si="5"/>
        <v>162334.1875</v>
      </c>
      <c r="O97" s="8">
        <f t="shared" si="5"/>
        <v>159651.103</v>
      </c>
      <c r="P97" s="8">
        <f t="shared" si="5"/>
        <v>158605.24</v>
      </c>
      <c r="Q97" s="8">
        <f t="shared" si="5"/>
        <v>158410.8605</v>
      </c>
      <c r="R97" s="8">
        <f t="shared" si="5"/>
        <v>158228.23700000002</v>
      </c>
      <c r="S97" s="8">
        <f t="shared" si="5"/>
        <v>157358.00400000002</v>
      </c>
      <c r="T97" s="8">
        <f t="shared" si="5"/>
        <v>156706.66749999998</v>
      </c>
      <c r="U97" s="8">
        <f t="shared" si="5"/>
        <v>157396.2</v>
      </c>
      <c r="V97" s="8">
        <f t="shared" si="5"/>
        <v>155648.5</v>
      </c>
      <c r="W97" s="8">
        <f t="shared" si="5"/>
        <v>153907.2555</v>
      </c>
      <c r="X97" s="8">
        <f t="shared" si="5"/>
        <v>154109.7035</v>
      </c>
    </row>
    <row r="98" spans="2:24" ht="12.75">
      <c r="B98" s="1" t="s">
        <v>28</v>
      </c>
      <c r="C98" s="4">
        <f>SUM(C69:C71)</f>
        <v>385717.3245</v>
      </c>
      <c r="D98" s="4">
        <f aca="true" t="shared" si="6" ref="D98:X98">SUM(D69:D71)</f>
        <v>391663.7735</v>
      </c>
      <c r="E98" s="4">
        <f t="shared" si="6"/>
        <v>391964.74</v>
      </c>
      <c r="F98" s="4">
        <f t="shared" si="6"/>
        <v>390067.8305</v>
      </c>
      <c r="G98" s="4">
        <f t="shared" si="6"/>
        <v>390956.819</v>
      </c>
      <c r="H98" s="4">
        <f t="shared" si="6"/>
        <v>390594.3915</v>
      </c>
      <c r="I98" s="4">
        <f t="shared" si="6"/>
        <v>388601.9225</v>
      </c>
      <c r="J98" s="4">
        <f t="shared" si="6"/>
        <v>386090.917</v>
      </c>
      <c r="K98" s="4">
        <f t="shared" si="6"/>
        <v>383978.85250000004</v>
      </c>
      <c r="L98" s="4">
        <f t="shared" si="6"/>
        <v>381613.4545</v>
      </c>
      <c r="M98" s="4">
        <f t="shared" si="6"/>
        <v>381943.88049999997</v>
      </c>
      <c r="N98" s="4">
        <f t="shared" si="6"/>
        <v>377664.793</v>
      </c>
      <c r="O98" s="4">
        <f t="shared" si="6"/>
        <v>371971.29099999997</v>
      </c>
      <c r="P98" s="4">
        <f t="shared" si="6"/>
        <v>370334.5025</v>
      </c>
      <c r="Q98" s="4">
        <f t="shared" si="6"/>
        <v>365732.75</v>
      </c>
      <c r="R98" s="4">
        <f t="shared" si="6"/>
        <v>361902.9315</v>
      </c>
      <c r="S98" s="4">
        <f t="shared" si="6"/>
        <v>354829.4575</v>
      </c>
      <c r="T98" s="4">
        <f t="shared" si="6"/>
        <v>346598.3765</v>
      </c>
      <c r="U98" s="4">
        <f t="shared" si="6"/>
        <v>341316.1032</v>
      </c>
      <c r="V98" s="4">
        <f t="shared" si="6"/>
        <v>332344.43090000004</v>
      </c>
      <c r="W98" s="4">
        <f t="shared" si="6"/>
        <v>321438.7328</v>
      </c>
      <c r="X98" s="4">
        <f t="shared" si="6"/>
        <v>316310.483</v>
      </c>
    </row>
    <row r="99" spans="2:24" ht="12.75">
      <c r="B99" s="1" t="s">
        <v>54</v>
      </c>
      <c r="C99" s="4">
        <f>C72</f>
        <v>0</v>
      </c>
      <c r="D99" s="4">
        <f aca="true" t="shared" si="7" ref="D99:X99">D72</f>
        <v>0</v>
      </c>
      <c r="E99" s="4">
        <f t="shared" si="7"/>
        <v>0</v>
      </c>
      <c r="F99" s="4">
        <f t="shared" si="7"/>
        <v>0</v>
      </c>
      <c r="G99" s="4">
        <f t="shared" si="7"/>
        <v>0</v>
      </c>
      <c r="H99" s="4">
        <f t="shared" si="7"/>
        <v>0</v>
      </c>
      <c r="I99" s="4">
        <f t="shared" si="7"/>
        <v>0</v>
      </c>
      <c r="J99" s="4">
        <f t="shared" si="7"/>
        <v>0</v>
      </c>
      <c r="K99" s="4">
        <f t="shared" si="7"/>
        <v>0</v>
      </c>
      <c r="L99" s="4">
        <f t="shared" si="7"/>
        <v>0</v>
      </c>
      <c r="M99" s="4">
        <f t="shared" si="7"/>
        <v>0</v>
      </c>
      <c r="N99" s="4">
        <f t="shared" si="7"/>
        <v>0</v>
      </c>
      <c r="O99" s="4">
        <f t="shared" si="7"/>
        <v>0</v>
      </c>
      <c r="P99" s="4">
        <f t="shared" si="7"/>
        <v>0</v>
      </c>
      <c r="Q99" s="4">
        <f t="shared" si="7"/>
        <v>120.949</v>
      </c>
      <c r="R99" s="4">
        <f t="shared" si="7"/>
        <v>313.855</v>
      </c>
      <c r="S99" s="4">
        <f t="shared" si="7"/>
        <v>669.047</v>
      </c>
      <c r="T99" s="4">
        <f t="shared" si="7"/>
        <v>1002.805</v>
      </c>
      <c r="U99" s="4">
        <f t="shared" si="7"/>
        <v>1794.332</v>
      </c>
      <c r="V99" s="4">
        <f t="shared" si="7"/>
        <v>2463.379</v>
      </c>
      <c r="W99" s="4">
        <f t="shared" si="7"/>
        <v>3453.139</v>
      </c>
      <c r="X99" s="4">
        <f t="shared" si="7"/>
        <v>4671.9567</v>
      </c>
    </row>
    <row r="100" spans="2:24" ht="12.75">
      <c r="B100" s="1" t="s">
        <v>29</v>
      </c>
      <c r="C100" s="4">
        <f>SUM(C73:C75)</f>
        <v>55645.510500000004</v>
      </c>
      <c r="D100" s="4">
        <f aca="true" t="shared" si="8" ref="D100:X100">SUM(D73:D75)</f>
        <v>56194.867</v>
      </c>
      <c r="E100" s="4">
        <f t="shared" si="8"/>
        <v>56004.8965</v>
      </c>
      <c r="F100" s="4">
        <f t="shared" si="8"/>
        <v>55737.318</v>
      </c>
      <c r="G100" s="4">
        <f t="shared" si="8"/>
        <v>56027.159499999994</v>
      </c>
      <c r="H100" s="4">
        <f t="shared" si="8"/>
        <v>56052.552500000005</v>
      </c>
      <c r="I100" s="4">
        <f t="shared" si="8"/>
        <v>56231.7295</v>
      </c>
      <c r="J100" s="4">
        <f t="shared" si="8"/>
        <v>56193.3085</v>
      </c>
      <c r="K100" s="4">
        <f t="shared" si="8"/>
        <v>56212.176999999996</v>
      </c>
      <c r="L100" s="4">
        <f t="shared" si="8"/>
        <v>56438.261</v>
      </c>
      <c r="M100" s="4">
        <f t="shared" si="8"/>
        <v>55890.4975</v>
      </c>
      <c r="N100" s="4">
        <f t="shared" si="8"/>
        <v>55823.834</v>
      </c>
      <c r="O100" s="4">
        <f t="shared" si="8"/>
        <v>54590.043999999994</v>
      </c>
      <c r="P100" s="4">
        <f t="shared" si="8"/>
        <v>54553.82</v>
      </c>
      <c r="Q100" s="4">
        <f t="shared" si="8"/>
        <v>54334.922999999995</v>
      </c>
      <c r="R100" s="4">
        <f t="shared" si="8"/>
        <v>53897.903</v>
      </c>
      <c r="S100" s="4">
        <f t="shared" si="8"/>
        <v>53448.345799999996</v>
      </c>
      <c r="T100" s="4">
        <f t="shared" si="8"/>
        <v>53324.1911</v>
      </c>
      <c r="U100" s="4">
        <f t="shared" si="8"/>
        <v>53235.29489999999</v>
      </c>
      <c r="V100" s="4">
        <f t="shared" si="8"/>
        <v>53097.55439999999</v>
      </c>
      <c r="W100" s="4">
        <f t="shared" si="8"/>
        <v>52699.4804</v>
      </c>
      <c r="X100" s="4">
        <f t="shared" si="8"/>
        <v>52480.0686</v>
      </c>
    </row>
    <row r="101" spans="2:24" ht="12.75">
      <c r="B101" s="1" t="s">
        <v>30</v>
      </c>
      <c r="C101" s="4">
        <f>SUM(C76:C79)</f>
        <v>320868.8065</v>
      </c>
      <c r="D101" s="4">
        <f aca="true" t="shared" si="9" ref="D101:X101">SUM(D76:D79)</f>
        <v>326697.60099999997</v>
      </c>
      <c r="E101" s="4">
        <f t="shared" si="9"/>
        <v>328382.73949999997</v>
      </c>
      <c r="F101" s="4">
        <f t="shared" si="9"/>
        <v>330458.333</v>
      </c>
      <c r="G101" s="4">
        <f t="shared" si="9"/>
        <v>332050.18600000005</v>
      </c>
      <c r="H101" s="4">
        <f t="shared" si="9"/>
        <v>333984.0785</v>
      </c>
      <c r="I101" s="4">
        <f t="shared" si="9"/>
        <v>335228.5015</v>
      </c>
      <c r="J101" s="4">
        <f t="shared" si="9"/>
        <v>336718.08849999995</v>
      </c>
      <c r="K101" s="4">
        <f t="shared" si="9"/>
        <v>335522.968</v>
      </c>
      <c r="L101" s="4">
        <f t="shared" si="9"/>
        <v>336119.9805</v>
      </c>
      <c r="M101" s="4">
        <f t="shared" si="9"/>
        <v>336422.92350000003</v>
      </c>
      <c r="N101" s="4">
        <f t="shared" si="9"/>
        <v>335507.221</v>
      </c>
      <c r="O101" s="4">
        <f t="shared" si="9"/>
        <v>331583.86449999997</v>
      </c>
      <c r="P101" s="4">
        <f t="shared" si="9"/>
        <v>331362.732</v>
      </c>
      <c r="Q101" s="4">
        <f t="shared" si="9"/>
        <v>327795.8545</v>
      </c>
      <c r="R101" s="4">
        <f t="shared" si="9"/>
        <v>325116.94949999993</v>
      </c>
      <c r="S101" s="4">
        <f t="shared" si="9"/>
        <v>322768.41899999994</v>
      </c>
      <c r="T101" s="4">
        <f t="shared" si="9"/>
        <v>319187.39699999994</v>
      </c>
      <c r="U101" s="4">
        <f t="shared" si="9"/>
        <v>319644.8075</v>
      </c>
      <c r="V101" s="4">
        <f t="shared" si="9"/>
        <v>315337.93769999995</v>
      </c>
      <c r="W101" s="4">
        <f t="shared" si="9"/>
        <v>311314.7358</v>
      </c>
      <c r="X101" s="4">
        <f t="shared" si="9"/>
        <v>309314.8642</v>
      </c>
    </row>
    <row r="102" spans="2:24" ht="12.75">
      <c r="B102" s="1" t="s">
        <v>31</v>
      </c>
      <c r="C102" s="4">
        <f>SUM(C80:C82)</f>
        <v>42358.99800000001</v>
      </c>
      <c r="D102" s="4">
        <f aca="true" t="shared" si="10" ref="D102:X102">SUM(D80:D82)</f>
        <v>46119.1905</v>
      </c>
      <c r="E102" s="4">
        <f t="shared" si="10"/>
        <v>48311.622</v>
      </c>
      <c r="F102" s="4">
        <f t="shared" si="10"/>
        <v>49562.979</v>
      </c>
      <c r="G102" s="4">
        <f t="shared" si="10"/>
        <v>52123.827000000005</v>
      </c>
      <c r="H102" s="4">
        <f t="shared" si="10"/>
        <v>53915.004</v>
      </c>
      <c r="I102" s="4">
        <f t="shared" si="10"/>
        <v>56043.478500000005</v>
      </c>
      <c r="J102" s="4">
        <f t="shared" si="10"/>
        <v>58058.202</v>
      </c>
      <c r="K102" s="4">
        <f t="shared" si="10"/>
        <v>60911.865000000005</v>
      </c>
      <c r="L102" s="4">
        <f t="shared" si="10"/>
        <v>63668.2065</v>
      </c>
      <c r="M102" s="4">
        <f t="shared" si="10"/>
        <v>66940.4655</v>
      </c>
      <c r="N102" s="4">
        <f t="shared" si="10"/>
        <v>70873.0755</v>
      </c>
      <c r="O102" s="4">
        <f t="shared" si="10"/>
        <v>73985.4765</v>
      </c>
      <c r="P102" s="4">
        <f t="shared" si="10"/>
        <v>77979.321</v>
      </c>
      <c r="Q102" s="4">
        <f t="shared" si="10"/>
        <v>81913.4625</v>
      </c>
      <c r="R102" s="4">
        <f t="shared" si="10"/>
        <v>85822.6311</v>
      </c>
      <c r="S102" s="4">
        <f t="shared" si="10"/>
        <v>89828.1642</v>
      </c>
      <c r="T102" s="4">
        <f t="shared" si="10"/>
        <v>93577.166</v>
      </c>
      <c r="U102" s="4">
        <f t="shared" si="10"/>
        <v>99132.4062</v>
      </c>
      <c r="V102" s="4">
        <f t="shared" si="10"/>
        <v>103184.2825</v>
      </c>
      <c r="W102" s="4">
        <f t="shared" si="10"/>
        <v>106843.7733</v>
      </c>
      <c r="X102" s="4">
        <f t="shared" si="10"/>
        <v>112071.94649999999</v>
      </c>
    </row>
    <row r="103" spans="2:24" ht="12.75">
      <c r="B103" s="1" t="s">
        <v>32</v>
      </c>
      <c r="C103" s="4">
        <f>C83</f>
        <v>3487.003</v>
      </c>
      <c r="D103" s="4">
        <f aca="true" t="shared" si="11" ref="D103:X103">D83</f>
        <v>5456.0545</v>
      </c>
      <c r="E103" s="4">
        <f t="shared" si="11"/>
        <v>8385.949</v>
      </c>
      <c r="F103" s="4">
        <f t="shared" si="11"/>
        <v>11004.5845</v>
      </c>
      <c r="G103" s="4">
        <f t="shared" si="11"/>
        <v>14297.6145</v>
      </c>
      <c r="H103" s="4">
        <f t="shared" si="11"/>
        <v>18546.9765</v>
      </c>
      <c r="I103" s="4">
        <f t="shared" si="11"/>
        <v>22913.6245</v>
      </c>
      <c r="J103" s="4">
        <f t="shared" si="11"/>
        <v>27160.731</v>
      </c>
      <c r="K103" s="4">
        <f t="shared" si="11"/>
        <v>32271.694</v>
      </c>
      <c r="L103" s="4">
        <f t="shared" si="11"/>
        <v>37569.8635</v>
      </c>
      <c r="M103" s="4">
        <f t="shared" si="11"/>
        <v>43192.825</v>
      </c>
      <c r="N103" s="4">
        <f t="shared" si="11"/>
        <v>48457.162</v>
      </c>
      <c r="O103" s="4">
        <f t="shared" si="11"/>
        <v>51849.434</v>
      </c>
      <c r="P103" s="4">
        <f t="shared" si="11"/>
        <v>56083.0075</v>
      </c>
      <c r="Q103" s="4">
        <f t="shared" si="11"/>
        <v>59416.6365</v>
      </c>
      <c r="R103" s="4">
        <f t="shared" si="11"/>
        <v>62761.543</v>
      </c>
      <c r="S103" s="4">
        <f t="shared" si="11"/>
        <v>65441.077</v>
      </c>
      <c r="T103" s="4">
        <f t="shared" si="11"/>
        <v>66999.6275</v>
      </c>
      <c r="U103" s="4">
        <f t="shared" si="11"/>
        <v>69848.324</v>
      </c>
      <c r="V103" s="4">
        <f t="shared" si="11"/>
        <v>72397.039</v>
      </c>
      <c r="W103" s="4">
        <f t="shared" si="11"/>
        <v>72843.628</v>
      </c>
      <c r="X103" s="4">
        <f t="shared" si="11"/>
        <v>74332.258</v>
      </c>
    </row>
    <row r="104" spans="2:24" ht="12.75">
      <c r="B104" s="1" t="s">
        <v>33</v>
      </c>
      <c r="C104" s="4">
        <f>SUM(C84:C85)</f>
        <v>0</v>
      </c>
      <c r="D104" s="4">
        <f aca="true" t="shared" si="12" ref="D104:X104">SUM(D84:D85)</f>
        <v>0</v>
      </c>
      <c r="E104" s="4">
        <f t="shared" si="12"/>
        <v>0</v>
      </c>
      <c r="F104" s="4">
        <f t="shared" si="12"/>
        <v>0</v>
      </c>
      <c r="G104" s="4">
        <f t="shared" si="12"/>
        <v>0</v>
      </c>
      <c r="H104" s="4">
        <f t="shared" si="12"/>
        <v>0</v>
      </c>
      <c r="I104" s="4">
        <f t="shared" si="12"/>
        <v>0</v>
      </c>
      <c r="J104" s="4">
        <f t="shared" si="12"/>
        <v>0</v>
      </c>
      <c r="K104" s="4">
        <f t="shared" si="12"/>
        <v>0</v>
      </c>
      <c r="L104" s="4">
        <f t="shared" si="12"/>
        <v>121.48</v>
      </c>
      <c r="M104" s="4">
        <f t="shared" si="12"/>
        <v>1076.779</v>
      </c>
      <c r="N104" s="4">
        <f t="shared" si="12"/>
        <v>2944.42</v>
      </c>
      <c r="O104" s="4">
        <f t="shared" si="12"/>
        <v>4765.37</v>
      </c>
      <c r="P104" s="4">
        <f t="shared" si="12"/>
        <v>7784.556</v>
      </c>
      <c r="Q104" s="4">
        <f t="shared" si="12"/>
        <v>10898.494999999999</v>
      </c>
      <c r="R104" s="4">
        <f t="shared" si="12"/>
        <v>14589.387999999999</v>
      </c>
      <c r="S104" s="4">
        <f t="shared" si="12"/>
        <v>18410.781000000003</v>
      </c>
      <c r="T104" s="4">
        <f t="shared" si="12"/>
        <v>22468.453999999998</v>
      </c>
      <c r="U104" s="4">
        <f t="shared" si="12"/>
        <v>27566.439</v>
      </c>
      <c r="V104" s="4">
        <f t="shared" si="12"/>
        <v>31640.486</v>
      </c>
      <c r="W104" s="4">
        <f t="shared" si="12"/>
        <v>35433.463</v>
      </c>
      <c r="X104" s="4">
        <f t="shared" si="12"/>
        <v>40579.070999999996</v>
      </c>
    </row>
    <row r="105" spans="2:24" ht="12.75">
      <c r="B105" s="1" t="s">
        <v>34</v>
      </c>
      <c r="C105" s="4">
        <f>C86</f>
        <v>1043.8</v>
      </c>
      <c r="D105" s="4">
        <f aca="true" t="shared" si="13" ref="D105:X105">D86</f>
        <v>1156.776</v>
      </c>
      <c r="E105" s="4">
        <f t="shared" si="13"/>
        <v>1173.968</v>
      </c>
      <c r="F105" s="4">
        <f t="shared" si="13"/>
        <v>1223.088</v>
      </c>
      <c r="G105" s="4">
        <f t="shared" si="13"/>
        <v>1313.346</v>
      </c>
      <c r="H105" s="4">
        <f t="shared" si="13"/>
        <v>1410.972</v>
      </c>
      <c r="I105" s="4">
        <f t="shared" si="13"/>
        <v>1432.462</v>
      </c>
      <c r="J105" s="4">
        <f t="shared" si="13"/>
        <v>1425.094</v>
      </c>
      <c r="K105" s="4">
        <f t="shared" si="13"/>
        <v>1465.618</v>
      </c>
      <c r="L105" s="4">
        <f t="shared" si="13"/>
        <v>1506.142</v>
      </c>
      <c r="M105" s="4">
        <f t="shared" si="13"/>
        <v>1558.946</v>
      </c>
      <c r="N105" s="4">
        <f t="shared" si="13"/>
        <v>1534.386</v>
      </c>
      <c r="O105" s="4">
        <f t="shared" si="13"/>
        <v>1550.964</v>
      </c>
      <c r="P105" s="4">
        <f t="shared" si="13"/>
        <v>1522.72</v>
      </c>
      <c r="Q105" s="4">
        <f t="shared" si="13"/>
        <v>1550.35</v>
      </c>
      <c r="R105" s="4">
        <f t="shared" si="13"/>
        <v>1537.456</v>
      </c>
      <c r="S105" s="4">
        <f t="shared" si="13"/>
        <v>1547.894</v>
      </c>
      <c r="T105" s="4">
        <f t="shared" si="13"/>
        <v>1530.702</v>
      </c>
      <c r="U105" s="4">
        <f t="shared" si="13"/>
        <v>1594.558</v>
      </c>
      <c r="V105" s="4">
        <f t="shared" si="13"/>
        <v>1654.73</v>
      </c>
      <c r="W105" s="4">
        <f t="shared" si="13"/>
        <v>1643.064</v>
      </c>
      <c r="X105" s="4">
        <f t="shared" si="13"/>
        <v>1633.854</v>
      </c>
    </row>
    <row r="106" spans="2:24" ht="12.75">
      <c r="B106" s="86" t="s">
        <v>35</v>
      </c>
      <c r="C106" s="4">
        <f>SUM(C87:C93)</f>
        <v>111189.51199999999</v>
      </c>
      <c r="D106" s="4">
        <f aca="true" t="shared" si="14" ref="D106:X106">SUM(D87:D93)</f>
        <v>113005.5575</v>
      </c>
      <c r="E106" s="4">
        <f t="shared" si="14"/>
        <v>112478.44449999998</v>
      </c>
      <c r="F106" s="4">
        <f t="shared" si="14"/>
        <v>112677.3485</v>
      </c>
      <c r="G106" s="4">
        <f t="shared" si="14"/>
        <v>113054.287</v>
      </c>
      <c r="H106" s="4">
        <f t="shared" si="14"/>
        <v>113634.1295</v>
      </c>
      <c r="I106" s="4">
        <f t="shared" si="14"/>
        <v>113805.98</v>
      </c>
      <c r="J106" s="4">
        <f t="shared" si="14"/>
        <v>113508.092</v>
      </c>
      <c r="K106" s="4">
        <f t="shared" si="14"/>
        <v>113465.5225</v>
      </c>
      <c r="L106" s="4">
        <f t="shared" si="14"/>
        <v>113334.3345</v>
      </c>
      <c r="M106" s="4">
        <f t="shared" si="14"/>
        <v>113146.6705</v>
      </c>
      <c r="N106" s="4">
        <f t="shared" si="14"/>
        <v>112171.96899999998</v>
      </c>
      <c r="O106" s="4">
        <f t="shared" si="14"/>
        <v>110441.57449999999</v>
      </c>
      <c r="P106" s="4">
        <f t="shared" si="14"/>
        <v>109432.786</v>
      </c>
      <c r="Q106" s="4">
        <f t="shared" si="14"/>
        <v>108224.25700000001</v>
      </c>
      <c r="R106" s="4">
        <f t="shared" si="14"/>
        <v>106311.31349999999</v>
      </c>
      <c r="S106" s="4">
        <f t="shared" si="14"/>
        <v>104676.06</v>
      </c>
      <c r="T106" s="4">
        <f t="shared" si="14"/>
        <v>102457.252</v>
      </c>
      <c r="U106" s="4">
        <f t="shared" si="14"/>
        <v>100897.2825</v>
      </c>
      <c r="V106" s="4">
        <f t="shared" si="14"/>
        <v>98318.69649999999</v>
      </c>
      <c r="W106" s="4">
        <f t="shared" si="14"/>
        <v>95353.322</v>
      </c>
      <c r="X106" s="4">
        <f t="shared" si="14"/>
        <v>93603.50149999998</v>
      </c>
    </row>
    <row r="107" spans="2:24" ht="13.5" thickBot="1">
      <c r="B107" s="2" t="s">
        <v>108</v>
      </c>
      <c r="C107" s="87">
        <f>C94</f>
        <v>0</v>
      </c>
      <c r="D107" s="87">
        <f aca="true" t="shared" si="15" ref="D107:X107">D94</f>
        <v>0</v>
      </c>
      <c r="E107" s="87">
        <f t="shared" si="15"/>
        <v>0</v>
      </c>
      <c r="F107" s="87">
        <f t="shared" si="15"/>
        <v>0</v>
      </c>
      <c r="G107" s="87">
        <f t="shared" si="15"/>
        <v>0</v>
      </c>
      <c r="H107" s="87">
        <f t="shared" si="15"/>
        <v>0</v>
      </c>
      <c r="I107" s="87">
        <f t="shared" si="15"/>
        <v>0</v>
      </c>
      <c r="J107" s="87">
        <f t="shared" si="15"/>
        <v>0</v>
      </c>
      <c r="K107" s="87">
        <f t="shared" si="15"/>
        <v>0</v>
      </c>
      <c r="L107" s="87">
        <f t="shared" si="15"/>
        <v>0</v>
      </c>
      <c r="M107" s="87">
        <f t="shared" si="15"/>
        <v>0</v>
      </c>
      <c r="N107" s="87">
        <f t="shared" si="15"/>
        <v>0</v>
      </c>
      <c r="O107" s="87">
        <f t="shared" si="15"/>
        <v>0</v>
      </c>
      <c r="P107" s="87">
        <f t="shared" si="15"/>
        <v>0</v>
      </c>
      <c r="Q107" s="87">
        <f t="shared" si="15"/>
        <v>0</v>
      </c>
      <c r="R107" s="87">
        <f t="shared" si="15"/>
        <v>0</v>
      </c>
      <c r="S107" s="87">
        <f t="shared" si="15"/>
        <v>0</v>
      </c>
      <c r="T107" s="87">
        <f t="shared" si="15"/>
        <v>0</v>
      </c>
      <c r="U107" s="87">
        <f t="shared" si="15"/>
        <v>0</v>
      </c>
      <c r="V107" s="87">
        <f t="shared" si="15"/>
        <v>0</v>
      </c>
      <c r="W107" s="87">
        <f t="shared" si="15"/>
        <v>0</v>
      </c>
      <c r="X107" s="87">
        <f t="shared" si="15"/>
        <v>120.168</v>
      </c>
    </row>
    <row r="108" spans="2:24" ht="13.5" thickTop="1">
      <c r="B108" s="3" t="s">
        <v>36</v>
      </c>
      <c r="C108" s="18">
        <f>SUM(C97:C107)</f>
        <v>1094346.4125</v>
      </c>
      <c r="D108" s="18">
        <f aca="true" t="shared" si="16" ref="D108:X108">SUM(D97:D107)</f>
        <v>1116506.44</v>
      </c>
      <c r="E108" s="18">
        <f t="shared" si="16"/>
        <v>1120350.0324999997</v>
      </c>
      <c r="F108" s="18">
        <f t="shared" si="16"/>
        <v>1122813.749</v>
      </c>
      <c r="G108" s="18">
        <f t="shared" si="16"/>
        <v>1130909.9440000001</v>
      </c>
      <c r="H108" s="18">
        <f t="shared" si="16"/>
        <v>1137695.1824999999</v>
      </c>
      <c r="I108" s="18">
        <f t="shared" si="16"/>
        <v>1142366.034</v>
      </c>
      <c r="J108" s="18">
        <f t="shared" si="16"/>
        <v>1146401.635</v>
      </c>
      <c r="K108" s="18">
        <f t="shared" si="16"/>
        <v>1150042.029</v>
      </c>
      <c r="L108" s="18">
        <f t="shared" si="16"/>
        <v>1155839.1265</v>
      </c>
      <c r="M108" s="18">
        <f t="shared" si="16"/>
        <v>1164622.9845000003</v>
      </c>
      <c r="N108" s="18">
        <f t="shared" si="16"/>
        <v>1167311.048</v>
      </c>
      <c r="O108" s="18">
        <f t="shared" si="16"/>
        <v>1160389.1215</v>
      </c>
      <c r="P108" s="18">
        <f t="shared" si="16"/>
        <v>1167658.685</v>
      </c>
      <c r="Q108" s="18">
        <f t="shared" si="16"/>
        <v>1168398.5380000002</v>
      </c>
      <c r="R108" s="18">
        <f t="shared" si="16"/>
        <v>1170482.2075999998</v>
      </c>
      <c r="S108" s="18">
        <f t="shared" si="16"/>
        <v>1168977.2495000002</v>
      </c>
      <c r="T108" s="18">
        <f t="shared" si="16"/>
        <v>1163852.6386</v>
      </c>
      <c r="U108" s="18">
        <f t="shared" si="16"/>
        <v>1172425.7473</v>
      </c>
      <c r="V108" s="18">
        <f t="shared" si="16"/>
        <v>1166087.0359999998</v>
      </c>
      <c r="W108" s="18">
        <f t="shared" si="16"/>
        <v>1154930.5938000001</v>
      </c>
      <c r="X108" s="18">
        <f t="shared" si="16"/>
        <v>1159227.875</v>
      </c>
    </row>
    <row r="109" spans="2:24" s="14" customFormat="1" ht="13.5" thickBot="1">
      <c r="B109" s="19" t="s">
        <v>37</v>
      </c>
      <c r="C109" s="20">
        <f>SUM(C97:C99)</f>
        <v>559752.7825</v>
      </c>
      <c r="D109" s="20">
        <f aca="true" t="shared" si="17" ref="D109:X109">SUM(D97:D99)</f>
        <v>567876.3935</v>
      </c>
      <c r="E109" s="20">
        <f t="shared" si="17"/>
        <v>565612.413</v>
      </c>
      <c r="F109" s="20">
        <f t="shared" si="17"/>
        <v>562150.098</v>
      </c>
      <c r="G109" s="20">
        <f t="shared" si="17"/>
        <v>562043.524</v>
      </c>
      <c r="H109" s="20">
        <f t="shared" si="17"/>
        <v>560151.4695</v>
      </c>
      <c r="I109" s="20">
        <f t="shared" si="17"/>
        <v>556710.2579999999</v>
      </c>
      <c r="J109" s="20">
        <f t="shared" si="17"/>
        <v>553338.119</v>
      </c>
      <c r="K109" s="20">
        <f t="shared" si="17"/>
        <v>550192.1845</v>
      </c>
      <c r="L109" s="20">
        <f t="shared" si="17"/>
        <v>547080.8585</v>
      </c>
      <c r="M109" s="20">
        <f t="shared" si="17"/>
        <v>546393.8775</v>
      </c>
      <c r="N109" s="20">
        <f t="shared" si="17"/>
        <v>539998.9805000001</v>
      </c>
      <c r="O109" s="20">
        <f t="shared" si="17"/>
        <v>531622.394</v>
      </c>
      <c r="P109" s="20">
        <f t="shared" si="17"/>
        <v>528939.7424999999</v>
      </c>
      <c r="Q109" s="20">
        <f t="shared" si="17"/>
        <v>524264.55950000003</v>
      </c>
      <c r="R109" s="20">
        <f t="shared" si="17"/>
        <v>520445.0235</v>
      </c>
      <c r="S109" s="20">
        <f t="shared" si="17"/>
        <v>512856.50850000005</v>
      </c>
      <c r="T109" s="20">
        <f t="shared" si="17"/>
        <v>504307.849</v>
      </c>
      <c r="U109" s="20">
        <f t="shared" si="17"/>
        <v>500506.6352</v>
      </c>
      <c r="V109" s="20">
        <f t="shared" si="17"/>
        <v>490456.30990000005</v>
      </c>
      <c r="W109" s="20">
        <f t="shared" si="17"/>
        <v>478799.1273</v>
      </c>
      <c r="X109" s="20">
        <f t="shared" si="17"/>
        <v>475092.1432</v>
      </c>
    </row>
    <row r="110" spans="2:24" s="14" customFormat="1" ht="14.25" thickBot="1" thickTop="1">
      <c r="B110" s="59" t="s">
        <v>68</v>
      </c>
      <c r="C110" s="60">
        <f>C97+C98+C100+C101+C102</f>
        <v>978626.0975</v>
      </c>
      <c r="D110" s="60">
        <f aca="true" t="shared" si="18" ref="D110:X110">D97+D98+D100+D101+D102</f>
        <v>996888.0519999999</v>
      </c>
      <c r="E110" s="60">
        <f t="shared" si="18"/>
        <v>998311.6709999999</v>
      </c>
      <c r="F110" s="60">
        <f t="shared" si="18"/>
        <v>997908.728</v>
      </c>
      <c r="G110" s="60">
        <f t="shared" si="18"/>
        <v>1002244.6965000001</v>
      </c>
      <c r="H110" s="60">
        <f t="shared" si="18"/>
        <v>1004103.1044999999</v>
      </c>
      <c r="I110" s="60">
        <f t="shared" si="18"/>
        <v>1004213.9674999999</v>
      </c>
      <c r="J110" s="60">
        <f t="shared" si="18"/>
        <v>1004307.718</v>
      </c>
      <c r="K110" s="60">
        <f t="shared" si="18"/>
        <v>1002839.1945</v>
      </c>
      <c r="L110" s="60">
        <f t="shared" si="18"/>
        <v>1003307.3065000001</v>
      </c>
      <c r="M110" s="60">
        <f t="shared" si="18"/>
        <v>1005647.7640000001</v>
      </c>
      <c r="N110" s="60">
        <f t="shared" si="18"/>
        <v>1002203.1110000001</v>
      </c>
      <c r="O110" s="60">
        <f t="shared" si="18"/>
        <v>991781.779</v>
      </c>
      <c r="P110" s="60">
        <f t="shared" si="18"/>
        <v>992835.6154999998</v>
      </c>
      <c r="Q110" s="60">
        <f t="shared" si="18"/>
        <v>988187.8505000001</v>
      </c>
      <c r="R110" s="60">
        <f t="shared" si="18"/>
        <v>984968.6521</v>
      </c>
      <c r="S110" s="60">
        <f t="shared" si="18"/>
        <v>978232.3905</v>
      </c>
      <c r="T110" s="60">
        <f t="shared" si="18"/>
        <v>969393.7980999998</v>
      </c>
      <c r="U110" s="60">
        <f t="shared" si="18"/>
        <v>970724.8118</v>
      </c>
      <c r="V110" s="60">
        <f t="shared" si="18"/>
        <v>959612.7054999999</v>
      </c>
      <c r="W110" s="60">
        <f t="shared" si="18"/>
        <v>946203.9778</v>
      </c>
      <c r="X110" s="60">
        <f t="shared" si="18"/>
        <v>944287.0658</v>
      </c>
    </row>
    <row r="111" spans="2:24" s="14" customFormat="1" ht="13.5" thickTop="1">
      <c r="B111" s="1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2:24" s="14" customFormat="1" ht="12.75">
      <c r="B112" s="15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2:3" ht="12.75">
      <c r="B113" s="17"/>
      <c r="C113" s="16"/>
    </row>
    <row r="114" spans="2:24" ht="13.5" thickBot="1">
      <c r="B114" s="11" t="s">
        <v>0</v>
      </c>
      <c r="C114" s="12">
        <v>38443</v>
      </c>
      <c r="D114" s="12">
        <v>38473</v>
      </c>
      <c r="E114" s="12">
        <v>38504</v>
      </c>
      <c r="F114" s="12">
        <v>38534</v>
      </c>
      <c r="G114" s="12">
        <v>38565</v>
      </c>
      <c r="H114" s="12">
        <v>38596</v>
      </c>
      <c r="I114" s="12">
        <v>38626</v>
      </c>
      <c r="J114" s="12">
        <v>38657</v>
      </c>
      <c r="K114" s="12">
        <v>38687</v>
      </c>
      <c r="L114" s="12">
        <v>38718</v>
      </c>
      <c r="M114" s="12">
        <v>38749</v>
      </c>
      <c r="N114" s="12">
        <v>38777</v>
      </c>
      <c r="O114" s="12">
        <v>38808</v>
      </c>
      <c r="P114" s="12">
        <v>38838</v>
      </c>
      <c r="Q114" s="12">
        <v>38869</v>
      </c>
      <c r="R114" s="12">
        <v>38899</v>
      </c>
      <c r="S114" s="12">
        <v>38930</v>
      </c>
      <c r="T114" s="12">
        <v>38961</v>
      </c>
      <c r="U114" s="12">
        <v>38991</v>
      </c>
      <c r="V114" s="12">
        <v>39022</v>
      </c>
      <c r="W114" s="12">
        <v>39052</v>
      </c>
      <c r="X114" s="12">
        <v>39083</v>
      </c>
    </row>
    <row r="115" spans="2:24" ht="13.5" thickTop="1">
      <c r="B115" s="7" t="s">
        <v>27</v>
      </c>
      <c r="C115" s="10">
        <f aca="true" t="shared" si="19" ref="C115:Q115">C97/C$108</f>
        <v>0.15903141456133754</v>
      </c>
      <c r="D115" s="10">
        <f t="shared" si="19"/>
        <v>0.15782499203497652</v>
      </c>
      <c r="E115" s="10">
        <f t="shared" si="19"/>
        <v>0.15499412501690632</v>
      </c>
      <c r="F115" s="10">
        <f t="shared" si="19"/>
        <v>0.15325985066825185</v>
      </c>
      <c r="G115" s="10">
        <f t="shared" si="19"/>
        <v>0.15128234207126218</v>
      </c>
      <c r="H115" s="10">
        <f t="shared" si="19"/>
        <v>0.14903559460224755</v>
      </c>
      <c r="I115" s="10">
        <f t="shared" si="19"/>
        <v>0.1471580303480907</v>
      </c>
      <c r="J115" s="10">
        <f t="shared" si="19"/>
        <v>0.14588883764109425</v>
      </c>
      <c r="K115" s="10">
        <f t="shared" si="19"/>
        <v>0.14452805011354936</v>
      </c>
      <c r="L115" s="10">
        <f t="shared" si="19"/>
        <v>0.14315781513734732</v>
      </c>
      <c r="M115" s="10">
        <f t="shared" si="19"/>
        <v>0.14120449208771388</v>
      </c>
      <c r="N115" s="10">
        <f t="shared" si="19"/>
        <v>0.1390667789687535</v>
      </c>
      <c r="O115" s="10">
        <f t="shared" si="19"/>
        <v>0.13758410867694437</v>
      </c>
      <c r="P115" s="10">
        <f t="shared" si="19"/>
        <v>0.13583185055485625</v>
      </c>
      <c r="Q115" s="10">
        <f t="shared" si="19"/>
        <v>0.13557947510886048</v>
      </c>
      <c r="R115" s="10">
        <f aca="true" t="shared" si="20" ref="R115:W125">R97/R$108</f>
        <v>0.1351820950140174</v>
      </c>
      <c r="S115" s="10">
        <f t="shared" si="20"/>
        <v>0.1346116907470234</v>
      </c>
      <c r="T115" s="10">
        <f t="shared" si="20"/>
        <v>0.13464476713177595</v>
      </c>
      <c r="U115" s="10">
        <f t="shared" si="20"/>
        <v>0.13424833117361207</v>
      </c>
      <c r="V115" s="10">
        <f t="shared" si="20"/>
        <v>0.13347931603280427</v>
      </c>
      <c r="W115" s="10">
        <f t="shared" si="20"/>
        <v>0.13326104298060718</v>
      </c>
      <c r="X115" s="10">
        <f aca="true" t="shared" si="21" ref="X115:X127">X97/X$108</f>
        <v>0.1329416819794814</v>
      </c>
    </row>
    <row r="116" spans="2:24" ht="12.75">
      <c r="B116" s="1" t="s">
        <v>28</v>
      </c>
      <c r="C116" s="5">
        <f aca="true" t="shared" si="22" ref="C116:Q116">C98/C$108</f>
        <v>0.35246364413882514</v>
      </c>
      <c r="D116" s="5">
        <f t="shared" si="22"/>
        <v>0.35079401198975624</v>
      </c>
      <c r="E116" s="5">
        <f t="shared" si="22"/>
        <v>0.34985917671225675</v>
      </c>
      <c r="F116" s="5">
        <f t="shared" si="22"/>
        <v>0.34740207879303403</v>
      </c>
      <c r="G116" s="5">
        <f t="shared" si="22"/>
        <v>0.3457011065064965</v>
      </c>
      <c r="H116" s="5">
        <f t="shared" si="22"/>
        <v>0.34332077476297135</v>
      </c>
      <c r="I116" s="5">
        <f t="shared" si="22"/>
        <v>0.34017286135452446</v>
      </c>
      <c r="J116" s="5">
        <f t="shared" si="22"/>
        <v>0.33678503694736966</v>
      </c>
      <c r="K116" s="5">
        <f t="shared" si="22"/>
        <v>0.3338824519603709</v>
      </c>
      <c r="L116" s="5">
        <f t="shared" si="22"/>
        <v>0.3301613916251173</v>
      </c>
      <c r="M116" s="5">
        <f t="shared" si="22"/>
        <v>0.3279549567399079</v>
      </c>
      <c r="N116" s="5">
        <f t="shared" si="22"/>
        <v>0.32353398320616256</v>
      </c>
      <c r="O116" s="5">
        <f t="shared" si="22"/>
        <v>0.3205573752011428</v>
      </c>
      <c r="P116" s="5">
        <f t="shared" si="22"/>
        <v>0.3171598920621226</v>
      </c>
      <c r="Q116" s="5">
        <f t="shared" si="22"/>
        <v>0.3130205474461146</v>
      </c>
      <c r="R116" s="5">
        <f t="shared" si="20"/>
        <v>0.30919131375953096</v>
      </c>
      <c r="S116" s="5">
        <f t="shared" si="20"/>
        <v>0.30353837737369926</v>
      </c>
      <c r="T116" s="5">
        <f t="shared" si="20"/>
        <v>0.2978026298216961</v>
      </c>
      <c r="U116" s="5">
        <f t="shared" si="20"/>
        <v>0.2911195902904921</v>
      </c>
      <c r="V116" s="5">
        <f t="shared" si="20"/>
        <v>0.2850082546496984</v>
      </c>
      <c r="W116" s="5">
        <f t="shared" si="20"/>
        <v>0.27831865787050375</v>
      </c>
      <c r="X116" s="5">
        <f t="shared" si="21"/>
        <v>0.27286307534659654</v>
      </c>
    </row>
    <row r="117" spans="2:24" ht="12.75">
      <c r="B117" s="1" t="s">
        <v>54</v>
      </c>
      <c r="C117" s="5">
        <f aca="true" t="shared" si="23" ref="C117:Q117">C99/C$108</f>
        <v>0</v>
      </c>
      <c r="D117" s="5">
        <f t="shared" si="23"/>
        <v>0</v>
      </c>
      <c r="E117" s="5">
        <f t="shared" si="23"/>
        <v>0</v>
      </c>
      <c r="F117" s="5">
        <f t="shared" si="23"/>
        <v>0</v>
      </c>
      <c r="G117" s="5">
        <f t="shared" si="23"/>
        <v>0</v>
      </c>
      <c r="H117" s="5">
        <f t="shared" si="23"/>
        <v>0</v>
      </c>
      <c r="I117" s="5">
        <f t="shared" si="23"/>
        <v>0</v>
      </c>
      <c r="J117" s="5">
        <f t="shared" si="23"/>
        <v>0</v>
      </c>
      <c r="K117" s="5">
        <f t="shared" si="23"/>
        <v>0</v>
      </c>
      <c r="L117" s="5">
        <f t="shared" si="23"/>
        <v>0</v>
      </c>
      <c r="M117" s="5">
        <f t="shared" si="23"/>
        <v>0</v>
      </c>
      <c r="N117" s="5">
        <f t="shared" si="23"/>
        <v>0</v>
      </c>
      <c r="O117" s="5">
        <f t="shared" si="23"/>
        <v>0</v>
      </c>
      <c r="P117" s="5">
        <f t="shared" si="23"/>
        <v>0</v>
      </c>
      <c r="Q117" s="5">
        <f t="shared" si="23"/>
        <v>0.00010351690460605487</v>
      </c>
      <c r="R117" s="5">
        <f t="shared" si="20"/>
        <v>0.0002681416239923373</v>
      </c>
      <c r="S117" s="5">
        <f t="shared" si="20"/>
        <v>0.0005723353472329488</v>
      </c>
      <c r="T117" s="5">
        <f t="shared" si="20"/>
        <v>0.000861625404059981</v>
      </c>
      <c r="U117" s="5">
        <f t="shared" si="20"/>
        <v>0.0015304440423047677</v>
      </c>
      <c r="V117" s="5">
        <f t="shared" si="20"/>
        <v>0.002112517268393678</v>
      </c>
      <c r="W117" s="5">
        <f t="shared" si="20"/>
        <v>0.002989910405471501</v>
      </c>
      <c r="X117" s="5">
        <f t="shared" si="21"/>
        <v>0.0040302315021539655</v>
      </c>
    </row>
    <row r="118" spans="2:24" ht="12.75">
      <c r="B118" s="1" t="s">
        <v>29</v>
      </c>
      <c r="C118" s="5">
        <f aca="true" t="shared" si="24" ref="C118:C125">C100/C$108</f>
        <v>0.050848168243983714</v>
      </c>
      <c r="D118" s="5">
        <f aca="true" t="shared" si="25" ref="D118:Q118">D100/D$108</f>
        <v>0.05033098331255483</v>
      </c>
      <c r="E118" s="5">
        <f t="shared" si="25"/>
        <v>0.049988748940389766</v>
      </c>
      <c r="F118" s="5">
        <f t="shared" si="25"/>
        <v>0.04964075123736305</v>
      </c>
      <c r="G118" s="5">
        <f t="shared" si="25"/>
        <v>0.04954166315120843</v>
      </c>
      <c r="H118" s="5">
        <f t="shared" si="25"/>
        <v>0.049268515294956884</v>
      </c>
      <c r="I118" s="5">
        <f t="shared" si="25"/>
        <v>0.04922391582591469</v>
      </c>
      <c r="J118" s="5">
        <f t="shared" si="25"/>
        <v>0.04901712173500171</v>
      </c>
      <c r="K118" s="5">
        <f t="shared" si="25"/>
        <v>0.04887836755746949</v>
      </c>
      <c r="L118" s="5">
        <f t="shared" si="25"/>
        <v>0.04882882029690487</v>
      </c>
      <c r="M118" s="5">
        <f t="shared" si="25"/>
        <v>0.04799020648213902</v>
      </c>
      <c r="N118" s="5">
        <f t="shared" si="25"/>
        <v>0.047822586872320945</v>
      </c>
      <c r="O118" s="5">
        <f t="shared" si="25"/>
        <v>0.04704460166726925</v>
      </c>
      <c r="P118" s="5">
        <f t="shared" si="25"/>
        <v>0.0467206904730041</v>
      </c>
      <c r="Q118" s="5">
        <f t="shared" si="25"/>
        <v>0.046503758120929786</v>
      </c>
      <c r="R118" s="5">
        <f t="shared" si="20"/>
        <v>0.04604760555097566</v>
      </c>
      <c r="S118" s="5">
        <f t="shared" si="20"/>
        <v>0.04572231480369797</v>
      </c>
      <c r="T118" s="5">
        <f t="shared" si="20"/>
        <v>0.04581696112674861</v>
      </c>
      <c r="U118" s="5">
        <f t="shared" si="20"/>
        <v>0.045406112090762674</v>
      </c>
      <c r="V118" s="5">
        <f t="shared" si="20"/>
        <v>0.04553481237741846</v>
      </c>
      <c r="W118" s="5">
        <f t="shared" si="20"/>
        <v>0.04562999775303034</v>
      </c>
      <c r="X118" s="5">
        <f t="shared" si="21"/>
        <v>0.04527157233861375</v>
      </c>
    </row>
    <row r="119" spans="2:24" ht="12.75">
      <c r="B119" s="1" t="s">
        <v>30</v>
      </c>
      <c r="C119" s="5">
        <f t="shared" si="24"/>
        <v>0.29320588328789354</v>
      </c>
      <c r="D119" s="5">
        <f aca="true" t="shared" si="26" ref="D119:Q119">D101/D$108</f>
        <v>0.2926070009949965</v>
      </c>
      <c r="E119" s="5">
        <f t="shared" si="26"/>
        <v>0.29310727002634335</v>
      </c>
      <c r="F119" s="5">
        <f t="shared" si="26"/>
        <v>0.29431268836377594</v>
      </c>
      <c r="G119" s="5">
        <f t="shared" si="26"/>
        <v>0.29361328703640793</v>
      </c>
      <c r="H119" s="5">
        <f t="shared" si="26"/>
        <v>0.29356200468924815</v>
      </c>
      <c r="I119" s="5">
        <f t="shared" si="26"/>
        <v>0.29345104066705824</v>
      </c>
      <c r="J119" s="5">
        <f t="shared" si="26"/>
        <v>0.2937173833496844</v>
      </c>
      <c r="K119" s="5">
        <f t="shared" si="26"/>
        <v>0.2917484400911403</v>
      </c>
      <c r="L119" s="5">
        <f t="shared" si="26"/>
        <v>0.29080169791258575</v>
      </c>
      <c r="M119" s="5">
        <f t="shared" si="26"/>
        <v>0.28886852481658193</v>
      </c>
      <c r="N119" s="5">
        <f t="shared" si="26"/>
        <v>0.28741886883949036</v>
      </c>
      <c r="O119" s="5">
        <f t="shared" si="26"/>
        <v>0.28575230356466247</v>
      </c>
      <c r="P119" s="5">
        <f t="shared" si="26"/>
        <v>0.2837838970041147</v>
      </c>
      <c r="Q119" s="5">
        <f t="shared" si="26"/>
        <v>0.28055140762252473</v>
      </c>
      <c r="R119" s="5">
        <f t="shared" si="20"/>
        <v>0.27776325636476934</v>
      </c>
      <c r="S119" s="5">
        <f t="shared" si="20"/>
        <v>0.2761118055445953</v>
      </c>
      <c r="T119" s="5">
        <f t="shared" si="20"/>
        <v>0.2742506967067162</v>
      </c>
      <c r="U119" s="5">
        <f t="shared" si="20"/>
        <v>0.2726354383090918</v>
      </c>
      <c r="V119" s="5">
        <f t="shared" si="20"/>
        <v>0.270424014644478</v>
      </c>
      <c r="W119" s="5">
        <f t="shared" si="20"/>
        <v>0.2695527657430041</v>
      </c>
      <c r="X119" s="5">
        <f t="shared" si="21"/>
        <v>0.26682835262221416</v>
      </c>
    </row>
    <row r="120" spans="2:24" ht="12.75">
      <c r="B120" s="1" t="s">
        <v>31</v>
      </c>
      <c r="C120" s="5">
        <f t="shared" si="24"/>
        <v>0.03870712008205172</v>
      </c>
      <c r="D120" s="5">
        <f aca="true" t="shared" si="27" ref="D120:Q120">D102/D$108</f>
        <v>0.041306694567744724</v>
      </c>
      <c r="E120" s="5">
        <f t="shared" si="27"/>
        <v>0.04312189994067771</v>
      </c>
      <c r="F120" s="5">
        <f t="shared" si="27"/>
        <v>0.04414176353303632</v>
      </c>
      <c r="G120" s="5">
        <f t="shared" si="27"/>
        <v>0.04609016595577835</v>
      </c>
      <c r="H120" s="5">
        <f t="shared" si="27"/>
        <v>0.04738967416696432</v>
      </c>
      <c r="I120" s="5">
        <f t="shared" si="27"/>
        <v>0.04905912538712614</v>
      </c>
      <c r="J120" s="5">
        <f t="shared" si="27"/>
        <v>0.05064385833678613</v>
      </c>
      <c r="K120" s="5">
        <f t="shared" si="27"/>
        <v>0.05296490342441215</v>
      </c>
      <c r="L120" s="5">
        <f t="shared" si="27"/>
        <v>0.055083968902137695</v>
      </c>
      <c r="M120" s="5">
        <f t="shared" si="27"/>
        <v>0.05747822805398187</v>
      </c>
      <c r="N120" s="5">
        <f t="shared" si="27"/>
        <v>0.06071481600506535</v>
      </c>
      <c r="O120" s="5">
        <f t="shared" si="27"/>
        <v>0.06375919519510939</v>
      </c>
      <c r="P120" s="5">
        <f t="shared" si="27"/>
        <v>0.06678263263206918</v>
      </c>
      <c r="Q120" s="5">
        <f t="shared" si="27"/>
        <v>0.07010746747442437</v>
      </c>
      <c r="R120" s="5">
        <f t="shared" si="20"/>
        <v>0.07332245679835997</v>
      </c>
      <c r="S120" s="5">
        <f t="shared" si="20"/>
        <v>0.07684338103108651</v>
      </c>
      <c r="T120" s="5">
        <f t="shared" si="20"/>
        <v>0.08040293323780587</v>
      </c>
      <c r="U120" s="5">
        <f t="shared" si="20"/>
        <v>0.08455324904651214</v>
      </c>
      <c r="V120" s="5">
        <f t="shared" si="20"/>
        <v>0.08848763369666689</v>
      </c>
      <c r="W120" s="5">
        <f t="shared" si="20"/>
        <v>0.09251099059421244</v>
      </c>
      <c r="X120" s="5">
        <f t="shared" si="21"/>
        <v>0.09667809834196749</v>
      </c>
    </row>
    <row r="121" spans="2:24" ht="12.75">
      <c r="B121" s="1" t="s">
        <v>32</v>
      </c>
      <c r="C121" s="5">
        <f t="shared" si="24"/>
        <v>0.0031863795231292904</v>
      </c>
      <c r="D121" s="5">
        <f aca="true" t="shared" si="28" ref="D121:Q121">D103/D$108</f>
        <v>0.00488672013392059</v>
      </c>
      <c r="E121" s="5">
        <f t="shared" si="28"/>
        <v>0.007485115148599777</v>
      </c>
      <c r="F121" s="5">
        <f t="shared" si="28"/>
        <v>0.009800899311930317</v>
      </c>
      <c r="G121" s="5">
        <f t="shared" si="28"/>
        <v>0.012642575631999216</v>
      </c>
      <c r="H121" s="5">
        <f t="shared" si="28"/>
        <v>0.01630223700099038</v>
      </c>
      <c r="I121" s="5">
        <f t="shared" si="28"/>
        <v>0.020058040783800128</v>
      </c>
      <c r="J121" s="5">
        <f t="shared" si="28"/>
        <v>0.02369216003429723</v>
      </c>
      <c r="K121" s="5">
        <f t="shared" si="28"/>
        <v>0.028061317052961374</v>
      </c>
      <c r="L121" s="5">
        <f t="shared" si="28"/>
        <v>0.03250440536112099</v>
      </c>
      <c r="M121" s="5">
        <f t="shared" si="28"/>
        <v>0.03708738842943554</v>
      </c>
      <c r="N121" s="5">
        <f t="shared" si="28"/>
        <v>0.0415117822135099</v>
      </c>
      <c r="O121" s="5">
        <f t="shared" si="28"/>
        <v>0.04468279910533443</v>
      </c>
      <c r="P121" s="5">
        <f t="shared" si="28"/>
        <v>0.04803030904531832</v>
      </c>
      <c r="Q121" s="5">
        <f t="shared" si="28"/>
        <v>0.05085305618552562</v>
      </c>
      <c r="R121" s="5">
        <f t="shared" si="20"/>
        <v>0.053620245222427254</v>
      </c>
      <c r="S121" s="5">
        <f t="shared" si="20"/>
        <v>0.05598148041631326</v>
      </c>
      <c r="T121" s="5">
        <f t="shared" si="20"/>
        <v>0.057567105385948135</v>
      </c>
      <c r="U121" s="5">
        <f t="shared" si="20"/>
        <v>0.05957590419764743</v>
      </c>
      <c r="V121" s="5">
        <f t="shared" si="20"/>
        <v>0.062085450540932015</v>
      </c>
      <c r="W121" s="5">
        <f t="shared" si="20"/>
        <v>0.06307186630178953</v>
      </c>
      <c r="X121" s="5">
        <f t="shared" si="21"/>
        <v>0.06412221410738592</v>
      </c>
    </row>
    <row r="122" spans="2:24" ht="12.75">
      <c r="B122" s="1" t="s">
        <v>33</v>
      </c>
      <c r="C122" s="5">
        <f t="shared" si="24"/>
        <v>0</v>
      </c>
      <c r="D122" s="5">
        <f aca="true" t="shared" si="29" ref="D122:Q122">D104/D$108</f>
        <v>0</v>
      </c>
      <c r="E122" s="5">
        <f t="shared" si="29"/>
        <v>0</v>
      </c>
      <c r="F122" s="5">
        <f t="shared" si="29"/>
        <v>0</v>
      </c>
      <c r="G122" s="5">
        <f t="shared" si="29"/>
        <v>0</v>
      </c>
      <c r="H122" s="5">
        <f t="shared" si="29"/>
        <v>0</v>
      </c>
      <c r="I122" s="5">
        <f t="shared" si="29"/>
        <v>0</v>
      </c>
      <c r="J122" s="5">
        <f t="shared" si="29"/>
        <v>0</v>
      </c>
      <c r="K122" s="5">
        <f t="shared" si="29"/>
        <v>0</v>
      </c>
      <c r="L122" s="5">
        <f t="shared" si="29"/>
        <v>0.00010510113147653511</v>
      </c>
      <c r="M122" s="5">
        <f t="shared" si="29"/>
        <v>0.0009245730286374918</v>
      </c>
      <c r="N122" s="5">
        <f t="shared" si="29"/>
        <v>0.0025223953847132614</v>
      </c>
      <c r="O122" s="5">
        <f t="shared" si="29"/>
        <v>0.004106699995463548</v>
      </c>
      <c r="P122" s="5">
        <f t="shared" si="29"/>
        <v>0.006666807775253262</v>
      </c>
      <c r="Q122" s="5">
        <f t="shared" si="29"/>
        <v>0.009327720504217199</v>
      </c>
      <c r="R122" s="5">
        <f t="shared" si="20"/>
        <v>0.012464425264451155</v>
      </c>
      <c r="S122" s="5">
        <f t="shared" si="20"/>
        <v>0.015749477594944418</v>
      </c>
      <c r="T122" s="5">
        <f t="shared" si="20"/>
        <v>0.01930523955938901</v>
      </c>
      <c r="U122" s="5">
        <f t="shared" si="20"/>
        <v>0.023512311174915118</v>
      </c>
      <c r="V122" s="5">
        <f t="shared" si="20"/>
        <v>0.027133897404893203</v>
      </c>
      <c r="W122" s="5">
        <f t="shared" si="20"/>
        <v>0.030680166574698974</v>
      </c>
      <c r="X122" s="5">
        <f t="shared" si="21"/>
        <v>0.03500525813356584</v>
      </c>
    </row>
    <row r="123" spans="2:24" ht="12.75">
      <c r="B123" s="1" t="s">
        <v>34</v>
      </c>
      <c r="C123" s="5">
        <f t="shared" si="24"/>
        <v>0.0009538113234322864</v>
      </c>
      <c r="D123" s="5">
        <f aca="true" t="shared" si="30" ref="D123:Q123">D105/D$108</f>
        <v>0.001036067467734445</v>
      </c>
      <c r="E123" s="5">
        <f t="shared" si="30"/>
        <v>0.001047858228182807</v>
      </c>
      <c r="F123" s="5">
        <f t="shared" si="30"/>
        <v>0.0010893062193879494</v>
      </c>
      <c r="G123" s="5">
        <f t="shared" si="30"/>
        <v>0.0011613179342598475</v>
      </c>
      <c r="H123" s="5">
        <f t="shared" si="30"/>
        <v>0.0012402021399963168</v>
      </c>
      <c r="I123" s="5">
        <f t="shared" si="30"/>
        <v>0.0012539430947401575</v>
      </c>
      <c r="J123" s="5">
        <f t="shared" si="30"/>
        <v>0.001243101855834321</v>
      </c>
      <c r="K123" s="5">
        <f t="shared" si="30"/>
        <v>0.001274403859200175</v>
      </c>
      <c r="L123" s="5">
        <f t="shared" si="30"/>
        <v>0.0013030723441252185</v>
      </c>
      <c r="M123" s="5">
        <f t="shared" si="30"/>
        <v>0.0013385842635325385</v>
      </c>
      <c r="N123" s="5">
        <f t="shared" si="30"/>
        <v>0.0013144619873416978</v>
      </c>
      <c r="O123" s="5">
        <f t="shared" si="30"/>
        <v>0.0013365895726384575</v>
      </c>
      <c r="P123" s="5">
        <f t="shared" si="30"/>
        <v>0.0013040797105876877</v>
      </c>
      <c r="Q123" s="5">
        <f t="shared" si="30"/>
        <v>0.0013269016945654545</v>
      </c>
      <c r="R123" s="5">
        <f t="shared" si="20"/>
        <v>0.0013135235973833867</v>
      </c>
      <c r="S123" s="5">
        <f t="shared" si="20"/>
        <v>0.0013241438194473603</v>
      </c>
      <c r="T123" s="5">
        <f t="shared" si="20"/>
        <v>0.0013152025859917143</v>
      </c>
      <c r="U123" s="5">
        <f t="shared" si="20"/>
        <v>0.0013600503090896254</v>
      </c>
      <c r="V123" s="5">
        <f t="shared" si="20"/>
        <v>0.0014190450188659848</v>
      </c>
      <c r="W123" s="5">
        <f t="shared" si="20"/>
        <v>0.001422651723679709</v>
      </c>
      <c r="X123" s="5">
        <f t="shared" si="21"/>
        <v>0.001409432981414461</v>
      </c>
    </row>
    <row r="124" spans="2:24" ht="12.75">
      <c r="B124" s="1" t="s">
        <v>35</v>
      </c>
      <c r="C124" s="5">
        <f t="shared" si="24"/>
        <v>0.1016035788393467</v>
      </c>
      <c r="D124" s="5">
        <f aca="true" t="shared" si="31" ref="D124:Q125">D106/D$108</f>
        <v>0.10121352949831619</v>
      </c>
      <c r="E124" s="5">
        <f t="shared" si="31"/>
        <v>0.10039580598664374</v>
      </c>
      <c r="F124" s="5">
        <f t="shared" si="31"/>
        <v>0.10035266187322042</v>
      </c>
      <c r="G124" s="5">
        <f t="shared" si="31"/>
        <v>0.0999675417125875</v>
      </c>
      <c r="H124" s="5">
        <f t="shared" si="31"/>
        <v>0.09988099734262522</v>
      </c>
      <c r="I124" s="5">
        <f t="shared" si="31"/>
        <v>0.0996230425387455</v>
      </c>
      <c r="J124" s="5">
        <f t="shared" si="31"/>
        <v>0.09901250009993226</v>
      </c>
      <c r="K124" s="5">
        <f t="shared" si="31"/>
        <v>0.09866206594089615</v>
      </c>
      <c r="L124" s="5">
        <f t="shared" si="31"/>
        <v>0.0980537272891843</v>
      </c>
      <c r="M124" s="5">
        <f t="shared" si="31"/>
        <v>0.09715304609806966</v>
      </c>
      <c r="N124" s="5">
        <f t="shared" si="31"/>
        <v>0.09609432652264248</v>
      </c>
      <c r="O124" s="5">
        <f t="shared" si="31"/>
        <v>0.09517632702143528</v>
      </c>
      <c r="P124" s="5">
        <f t="shared" si="31"/>
        <v>0.09371984074267387</v>
      </c>
      <c r="Q124" s="5">
        <f t="shared" si="31"/>
        <v>0.09262614893823155</v>
      </c>
      <c r="R124" s="5">
        <f t="shared" si="20"/>
        <v>0.09082693680409261</v>
      </c>
      <c r="S124" s="5">
        <f t="shared" si="20"/>
        <v>0.08954499332195942</v>
      </c>
      <c r="T124" s="5">
        <f t="shared" si="20"/>
        <v>0.08803283903986846</v>
      </c>
      <c r="U124" s="5">
        <f t="shared" si="20"/>
        <v>0.08605856936557231</v>
      </c>
      <c r="V124" s="5">
        <f t="shared" si="20"/>
        <v>0.08431505836584911</v>
      </c>
      <c r="W124" s="5">
        <f t="shared" si="20"/>
        <v>0.08256195005300239</v>
      </c>
      <c r="X124" s="5">
        <f t="shared" si="21"/>
        <v>0.08074642054307052</v>
      </c>
    </row>
    <row r="125" spans="2:24" ht="13.5" thickBot="1">
      <c r="B125" s="88" t="s">
        <v>108</v>
      </c>
      <c r="C125" s="89">
        <f t="shared" si="24"/>
        <v>0</v>
      </c>
      <c r="D125" s="89">
        <f t="shared" si="31"/>
        <v>0</v>
      </c>
      <c r="E125" s="89">
        <f t="shared" si="31"/>
        <v>0</v>
      </c>
      <c r="F125" s="89">
        <f t="shared" si="31"/>
        <v>0</v>
      </c>
      <c r="G125" s="89">
        <f t="shared" si="31"/>
        <v>0</v>
      </c>
      <c r="H125" s="89">
        <f t="shared" si="31"/>
        <v>0</v>
      </c>
      <c r="I125" s="89">
        <f t="shared" si="31"/>
        <v>0</v>
      </c>
      <c r="J125" s="89">
        <f t="shared" si="31"/>
        <v>0</v>
      </c>
      <c r="K125" s="89">
        <f t="shared" si="31"/>
        <v>0</v>
      </c>
      <c r="L125" s="89">
        <f t="shared" si="31"/>
        <v>0</v>
      </c>
      <c r="M125" s="89">
        <f t="shared" si="31"/>
        <v>0</v>
      </c>
      <c r="N125" s="89">
        <f t="shared" si="31"/>
        <v>0</v>
      </c>
      <c r="O125" s="89">
        <f t="shared" si="31"/>
        <v>0</v>
      </c>
      <c r="P125" s="89">
        <f t="shared" si="31"/>
        <v>0</v>
      </c>
      <c r="Q125" s="89">
        <f t="shared" si="31"/>
        <v>0</v>
      </c>
      <c r="R125" s="89">
        <f t="shared" si="20"/>
        <v>0</v>
      </c>
      <c r="S125" s="89">
        <f t="shared" si="20"/>
        <v>0</v>
      </c>
      <c r="T125" s="89">
        <f t="shared" si="20"/>
        <v>0</v>
      </c>
      <c r="U125" s="89">
        <f t="shared" si="20"/>
        <v>0</v>
      </c>
      <c r="V125" s="89">
        <f t="shared" si="20"/>
        <v>0</v>
      </c>
      <c r="W125" s="89">
        <f t="shared" si="20"/>
        <v>0</v>
      </c>
      <c r="X125" s="89">
        <f t="shared" si="21"/>
        <v>0.00010366210353594198</v>
      </c>
    </row>
    <row r="126" spans="2:24" ht="13.5" thickTop="1">
      <c r="B126" s="3" t="s">
        <v>36</v>
      </c>
      <c r="C126" s="6">
        <f>C108/C$108</f>
        <v>1</v>
      </c>
      <c r="D126" s="6">
        <f aca="true" t="shared" si="32" ref="D126:P126">D108/D$108</f>
        <v>1</v>
      </c>
      <c r="E126" s="6">
        <f t="shared" si="32"/>
        <v>1</v>
      </c>
      <c r="F126" s="6">
        <f t="shared" si="32"/>
        <v>1</v>
      </c>
      <c r="G126" s="6">
        <f t="shared" si="32"/>
        <v>1</v>
      </c>
      <c r="H126" s="6">
        <f t="shared" si="32"/>
        <v>1</v>
      </c>
      <c r="I126" s="6">
        <f t="shared" si="32"/>
        <v>1</v>
      </c>
      <c r="J126" s="6">
        <f t="shared" si="32"/>
        <v>1</v>
      </c>
      <c r="K126" s="6">
        <f t="shared" si="32"/>
        <v>1</v>
      </c>
      <c r="L126" s="6">
        <f t="shared" si="32"/>
        <v>1</v>
      </c>
      <c r="M126" s="6">
        <f t="shared" si="32"/>
        <v>1</v>
      </c>
      <c r="N126" s="6">
        <f t="shared" si="32"/>
        <v>1</v>
      </c>
      <c r="O126" s="6">
        <f t="shared" si="32"/>
        <v>1</v>
      </c>
      <c r="P126" s="6">
        <f t="shared" si="32"/>
        <v>1</v>
      </c>
      <c r="Q126" s="6">
        <f aca="true" t="shared" si="33" ref="Q126:W127">Q108/Q$108</f>
        <v>1</v>
      </c>
      <c r="R126" s="6">
        <f t="shared" si="33"/>
        <v>1</v>
      </c>
      <c r="S126" s="6">
        <f t="shared" si="33"/>
        <v>1</v>
      </c>
      <c r="T126" s="6">
        <f t="shared" si="33"/>
        <v>1</v>
      </c>
      <c r="U126" s="6">
        <f t="shared" si="33"/>
        <v>1</v>
      </c>
      <c r="V126" s="6">
        <f t="shared" si="33"/>
        <v>1</v>
      </c>
      <c r="W126" s="6">
        <f t="shared" si="33"/>
        <v>1</v>
      </c>
      <c r="X126" s="6">
        <f t="shared" si="21"/>
        <v>1</v>
      </c>
    </row>
    <row r="127" spans="2:24" ht="12.75">
      <c r="B127" s="62" t="s">
        <v>37</v>
      </c>
      <c r="C127" s="63">
        <f>C109/C$108</f>
        <v>0.5114950587001627</v>
      </c>
      <c r="D127" s="63">
        <f aca="true" t="shared" si="34" ref="D127:P127">D109/D$108</f>
        <v>0.5086190040247327</v>
      </c>
      <c r="E127" s="63">
        <f t="shared" si="34"/>
        <v>0.504853301729163</v>
      </c>
      <c r="F127" s="63">
        <f t="shared" si="34"/>
        <v>0.5006619294612858</v>
      </c>
      <c r="G127" s="63">
        <f t="shared" si="34"/>
        <v>0.49698344857775867</v>
      </c>
      <c r="H127" s="63">
        <f t="shared" si="34"/>
        <v>0.49235636936521887</v>
      </c>
      <c r="I127" s="63">
        <f t="shared" si="34"/>
        <v>0.4873308917026151</v>
      </c>
      <c r="J127" s="63">
        <f t="shared" si="34"/>
        <v>0.4826738745884639</v>
      </c>
      <c r="K127" s="63">
        <f t="shared" si="34"/>
        <v>0.4784105020739202</v>
      </c>
      <c r="L127" s="63">
        <f t="shared" si="34"/>
        <v>0.4733192067624646</v>
      </c>
      <c r="M127" s="63">
        <f t="shared" si="34"/>
        <v>0.46915944882762173</v>
      </c>
      <c r="N127" s="63">
        <f t="shared" si="34"/>
        <v>0.46260076217491614</v>
      </c>
      <c r="O127" s="63">
        <f t="shared" si="34"/>
        <v>0.4581414838780872</v>
      </c>
      <c r="P127" s="63">
        <f t="shared" si="34"/>
        <v>0.4529917426169788</v>
      </c>
      <c r="Q127" s="63">
        <f t="shared" si="33"/>
        <v>0.4487035394595812</v>
      </c>
      <c r="R127" s="63">
        <f t="shared" si="33"/>
        <v>0.44464155039754066</v>
      </c>
      <c r="S127" s="63">
        <f t="shared" si="33"/>
        <v>0.4387224034679556</v>
      </c>
      <c r="T127" s="63">
        <f t="shared" si="33"/>
        <v>0.433309022357532</v>
      </c>
      <c r="U127" s="63">
        <f t="shared" si="33"/>
        <v>0.4268983655064089</v>
      </c>
      <c r="V127" s="63">
        <f t="shared" si="33"/>
        <v>0.42060008795089643</v>
      </c>
      <c r="W127" s="63">
        <f t="shared" si="33"/>
        <v>0.4145696112565824</v>
      </c>
      <c r="X127" s="63">
        <f t="shared" si="21"/>
        <v>0.4098349888282319</v>
      </c>
    </row>
    <row r="128" spans="2:24" ht="13.5" thickBot="1">
      <c r="B128" s="59" t="s">
        <v>68</v>
      </c>
      <c r="C128" s="61">
        <f>C110/C108</f>
        <v>0.8942562303140916</v>
      </c>
      <c r="D128" s="61">
        <f aca="true" t="shared" si="35" ref="D128:Q128">D110/D108</f>
        <v>0.8928636829000287</v>
      </c>
      <c r="E128" s="61">
        <f t="shared" si="35"/>
        <v>0.8910712206365737</v>
      </c>
      <c r="F128" s="61">
        <f t="shared" si="35"/>
        <v>0.8887571325954613</v>
      </c>
      <c r="G128" s="61">
        <f t="shared" si="35"/>
        <v>0.8862285647211534</v>
      </c>
      <c r="H128" s="61">
        <f t="shared" si="35"/>
        <v>0.8825765635163881</v>
      </c>
      <c r="I128" s="61">
        <f t="shared" si="35"/>
        <v>0.8790649735827142</v>
      </c>
      <c r="J128" s="61">
        <f t="shared" si="35"/>
        <v>0.8760522380099361</v>
      </c>
      <c r="K128" s="61">
        <f t="shared" si="35"/>
        <v>0.8720022131469423</v>
      </c>
      <c r="L128" s="61">
        <f t="shared" si="35"/>
        <v>0.868033693874093</v>
      </c>
      <c r="M128" s="61">
        <f t="shared" si="35"/>
        <v>0.8634964081803246</v>
      </c>
      <c r="N128" s="61">
        <f t="shared" si="35"/>
        <v>0.8585570338917928</v>
      </c>
      <c r="O128" s="61">
        <f t="shared" si="35"/>
        <v>0.8546975843051283</v>
      </c>
      <c r="P128" s="61">
        <f t="shared" si="35"/>
        <v>0.8502789627261667</v>
      </c>
      <c r="Q128" s="61">
        <f t="shared" si="35"/>
        <v>0.845762655772854</v>
      </c>
      <c r="R128" s="61">
        <f aca="true" t="shared" si="36" ref="R128:W128">R110/R108</f>
        <v>0.8415067274876533</v>
      </c>
      <c r="S128" s="61">
        <f t="shared" si="36"/>
        <v>0.8368275695001024</v>
      </c>
      <c r="T128" s="61">
        <f t="shared" si="36"/>
        <v>0.8329179880247426</v>
      </c>
      <c r="U128" s="61">
        <f t="shared" si="36"/>
        <v>0.8279627209104709</v>
      </c>
      <c r="V128" s="61">
        <f t="shared" si="36"/>
        <v>0.822934031401066</v>
      </c>
      <c r="W128" s="61">
        <f t="shared" si="36"/>
        <v>0.8192734549413577</v>
      </c>
      <c r="X128" s="61">
        <f>X110/X108</f>
        <v>0.8145827806288733</v>
      </c>
    </row>
    <row r="129" ht="13.5" thickTop="1"/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28"/>
  <sheetViews>
    <sheetView workbookViewId="0" topLeftCell="AC106">
      <selection activeCell="AK127" sqref="AK127"/>
    </sheetView>
  </sheetViews>
  <sheetFormatPr defaultColWidth="11.421875" defaultRowHeight="12.75"/>
  <cols>
    <col min="2" max="2" width="26.8515625" style="0" bestFit="1" customWidth="1"/>
    <col min="3" max="16" width="11.28125" style="0" bestFit="1" customWidth="1"/>
  </cols>
  <sheetData>
    <row r="1" ht="18">
      <c r="B1" s="21" t="s">
        <v>71</v>
      </c>
    </row>
    <row r="3" spans="1:35" s="70" customFormat="1" ht="39" thickBot="1">
      <c r="A3" s="72" t="s">
        <v>113</v>
      </c>
      <c r="B3" s="79" t="s">
        <v>0</v>
      </c>
      <c r="C3" s="79" t="s">
        <v>55</v>
      </c>
      <c r="D3" s="79" t="s">
        <v>56</v>
      </c>
      <c r="E3" s="79" t="s">
        <v>57</v>
      </c>
      <c r="F3" s="79" t="s">
        <v>58</v>
      </c>
      <c r="G3" s="79" t="s">
        <v>59</v>
      </c>
      <c r="H3" s="79" t="s">
        <v>60</v>
      </c>
      <c r="I3" s="79" t="s">
        <v>61</v>
      </c>
      <c r="J3" s="79" t="s">
        <v>62</v>
      </c>
      <c r="K3" s="79" t="s">
        <v>63</v>
      </c>
      <c r="L3" s="79" t="s">
        <v>64</v>
      </c>
      <c r="M3" s="79" t="s">
        <v>65</v>
      </c>
      <c r="N3" s="79" t="s">
        <v>38</v>
      </c>
      <c r="O3" s="79" t="s">
        <v>39</v>
      </c>
      <c r="P3" s="79" t="s">
        <v>40</v>
      </c>
      <c r="Q3" s="79" t="s">
        <v>41</v>
      </c>
      <c r="R3" s="79" t="s">
        <v>42</v>
      </c>
      <c r="S3" s="79" t="s">
        <v>43</v>
      </c>
      <c r="T3" s="79" t="s">
        <v>44</v>
      </c>
      <c r="U3" s="79" t="s">
        <v>45</v>
      </c>
      <c r="V3" s="79" t="s">
        <v>46</v>
      </c>
      <c r="W3" s="79" t="s">
        <v>47</v>
      </c>
      <c r="X3" s="79" t="s">
        <v>66</v>
      </c>
      <c r="Y3" s="79" t="s">
        <v>49</v>
      </c>
      <c r="Z3" s="79" t="s">
        <v>50</v>
      </c>
      <c r="AA3" s="79" t="s">
        <v>51</v>
      </c>
      <c r="AB3" s="79" t="s">
        <v>52</v>
      </c>
      <c r="AC3" s="79" t="s">
        <v>69</v>
      </c>
      <c r="AD3" s="79" t="s">
        <v>70</v>
      </c>
      <c r="AE3" s="79" t="s">
        <v>75</v>
      </c>
      <c r="AF3" s="79" t="s">
        <v>76</v>
      </c>
      <c r="AG3" s="79" t="s">
        <v>105</v>
      </c>
      <c r="AH3" s="79" t="s">
        <v>106</v>
      </c>
      <c r="AI3" s="79" t="s">
        <v>109</v>
      </c>
    </row>
    <row r="4" spans="1:35" ht="26.25" thickTop="1">
      <c r="A4" s="103">
        <v>1</v>
      </c>
      <c r="B4" s="80" t="s">
        <v>77</v>
      </c>
      <c r="C4" s="103">
        <v>0</v>
      </c>
      <c r="D4" s="103">
        <v>0</v>
      </c>
      <c r="E4" s="103">
        <v>0</v>
      </c>
      <c r="F4" s="103">
        <v>0</v>
      </c>
      <c r="G4" s="103">
        <v>0</v>
      </c>
      <c r="H4" s="103">
        <v>0</v>
      </c>
      <c r="I4" s="103">
        <v>0</v>
      </c>
      <c r="J4" s="103">
        <v>0</v>
      </c>
      <c r="K4" s="103">
        <v>0</v>
      </c>
      <c r="L4" s="103">
        <v>0</v>
      </c>
      <c r="M4" s="103">
        <v>0</v>
      </c>
      <c r="N4" s="103">
        <v>0</v>
      </c>
      <c r="O4" s="103">
        <v>0</v>
      </c>
      <c r="P4" s="103">
        <v>0</v>
      </c>
      <c r="Q4" s="103">
        <v>0</v>
      </c>
      <c r="R4" s="103">
        <v>0</v>
      </c>
      <c r="S4" s="103">
        <v>0</v>
      </c>
      <c r="T4" s="103">
        <v>0</v>
      </c>
      <c r="U4" s="103">
        <v>0</v>
      </c>
      <c r="V4" s="103">
        <v>2</v>
      </c>
      <c r="W4" s="103">
        <v>4</v>
      </c>
      <c r="X4" s="103">
        <v>1</v>
      </c>
      <c r="Y4" s="103">
        <v>5</v>
      </c>
      <c r="Z4" s="103">
        <v>6</v>
      </c>
      <c r="AA4" s="103">
        <v>6</v>
      </c>
      <c r="AB4" s="103">
        <v>6</v>
      </c>
      <c r="AC4" s="103">
        <v>7</v>
      </c>
      <c r="AD4" s="103">
        <v>9</v>
      </c>
      <c r="AE4" s="103">
        <v>8</v>
      </c>
      <c r="AF4" s="103">
        <v>8</v>
      </c>
      <c r="AG4" s="103">
        <v>8</v>
      </c>
      <c r="AH4" s="103">
        <v>6</v>
      </c>
      <c r="AI4" s="103">
        <v>12</v>
      </c>
    </row>
    <row r="5" spans="1:35" ht="25.5">
      <c r="A5" s="103">
        <v>2</v>
      </c>
      <c r="B5" s="80" t="s">
        <v>78</v>
      </c>
      <c r="C5" s="103">
        <v>524</v>
      </c>
      <c r="D5" s="103">
        <v>589</v>
      </c>
      <c r="E5" s="103">
        <v>551</v>
      </c>
      <c r="F5" s="103">
        <v>567</v>
      </c>
      <c r="G5" s="103">
        <v>532</v>
      </c>
      <c r="H5" s="103">
        <v>541</v>
      </c>
      <c r="I5" s="103">
        <v>551</v>
      </c>
      <c r="J5" s="103">
        <v>541</v>
      </c>
      <c r="K5" s="103">
        <v>515</v>
      </c>
      <c r="L5" s="103">
        <v>498</v>
      </c>
      <c r="M5" s="103">
        <v>549</v>
      </c>
      <c r="N5" s="103">
        <v>546</v>
      </c>
      <c r="O5" s="103">
        <v>562</v>
      </c>
      <c r="P5" s="103">
        <v>561</v>
      </c>
      <c r="Q5" s="103">
        <v>570</v>
      </c>
      <c r="R5" s="103">
        <v>611</v>
      </c>
      <c r="S5" s="103">
        <v>595</v>
      </c>
      <c r="T5" s="103">
        <v>571</v>
      </c>
      <c r="U5" s="103">
        <v>633</v>
      </c>
      <c r="V5" s="103">
        <v>652</v>
      </c>
      <c r="W5" s="103">
        <v>629</v>
      </c>
      <c r="X5" s="103">
        <v>612</v>
      </c>
      <c r="Y5" s="103">
        <v>643</v>
      </c>
      <c r="Z5" s="103">
        <v>582</v>
      </c>
      <c r="AA5" s="103">
        <v>658</v>
      </c>
      <c r="AB5" s="103">
        <v>644</v>
      </c>
      <c r="AC5" s="103">
        <v>631</v>
      </c>
      <c r="AD5" s="103">
        <v>624</v>
      </c>
      <c r="AE5" s="103">
        <v>611</v>
      </c>
      <c r="AF5" s="103">
        <v>630</v>
      </c>
      <c r="AG5" s="103">
        <v>620</v>
      </c>
      <c r="AH5" s="103">
        <v>616</v>
      </c>
      <c r="AI5" s="103">
        <v>657</v>
      </c>
    </row>
    <row r="6" spans="1:35" ht="25.5">
      <c r="A6" s="103">
        <v>3</v>
      </c>
      <c r="B6" s="80" t="s">
        <v>79</v>
      </c>
      <c r="C6" s="103">
        <v>50</v>
      </c>
      <c r="D6" s="103">
        <v>66</v>
      </c>
      <c r="E6" s="103">
        <v>69</v>
      </c>
      <c r="F6" s="103">
        <v>64</v>
      </c>
      <c r="G6" s="103">
        <v>77</v>
      </c>
      <c r="H6" s="103">
        <v>70</v>
      </c>
      <c r="I6" s="103">
        <v>76</v>
      </c>
      <c r="J6" s="103">
        <v>82</v>
      </c>
      <c r="K6" s="103">
        <v>78</v>
      </c>
      <c r="L6" s="103">
        <v>76</v>
      </c>
      <c r="M6" s="103">
        <v>87</v>
      </c>
      <c r="N6" s="103">
        <v>86</v>
      </c>
      <c r="O6" s="103">
        <v>93</v>
      </c>
      <c r="P6" s="103">
        <v>90</v>
      </c>
      <c r="Q6" s="103">
        <v>92</v>
      </c>
      <c r="R6" s="103">
        <v>89</v>
      </c>
      <c r="S6" s="103">
        <v>95</v>
      </c>
      <c r="T6" s="103">
        <v>100</v>
      </c>
      <c r="U6" s="103">
        <v>102</v>
      </c>
      <c r="V6" s="103">
        <v>103</v>
      </c>
      <c r="W6" s="103">
        <v>95</v>
      </c>
      <c r="X6" s="103">
        <v>91</v>
      </c>
      <c r="Y6" s="103">
        <v>97</v>
      </c>
      <c r="Z6" s="103">
        <v>98</v>
      </c>
      <c r="AA6" s="103">
        <v>101</v>
      </c>
      <c r="AB6" s="103">
        <v>96</v>
      </c>
      <c r="AC6" s="103">
        <v>96</v>
      </c>
      <c r="AD6" s="103">
        <v>95</v>
      </c>
      <c r="AE6" s="103">
        <v>98</v>
      </c>
      <c r="AF6" s="103">
        <v>104</v>
      </c>
      <c r="AG6" s="103">
        <v>93</v>
      </c>
      <c r="AH6" s="103">
        <v>103</v>
      </c>
      <c r="AI6" s="103">
        <v>109</v>
      </c>
    </row>
    <row r="7" spans="1:35" ht="25.5">
      <c r="A7" s="103">
        <v>4</v>
      </c>
      <c r="B7" s="80" t="s">
        <v>80</v>
      </c>
      <c r="C7" s="103">
        <v>0</v>
      </c>
      <c r="D7" s="103">
        <v>0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0</v>
      </c>
      <c r="O7" s="103">
        <v>0</v>
      </c>
      <c r="P7" s="103">
        <v>0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0</v>
      </c>
      <c r="X7" s="103">
        <v>0</v>
      </c>
      <c r="Y7" s="103">
        <v>0</v>
      </c>
      <c r="Z7" s="103">
        <v>0</v>
      </c>
      <c r="AA7" s="103">
        <v>0</v>
      </c>
      <c r="AB7" s="103">
        <v>0</v>
      </c>
      <c r="AC7" s="103">
        <v>0</v>
      </c>
      <c r="AD7" s="103">
        <v>0</v>
      </c>
      <c r="AE7" s="103">
        <v>0</v>
      </c>
      <c r="AF7" s="103">
        <v>1</v>
      </c>
      <c r="AG7" s="103">
        <v>0</v>
      </c>
      <c r="AH7" s="103">
        <v>0</v>
      </c>
      <c r="AI7" s="103">
        <v>1</v>
      </c>
    </row>
    <row r="8" spans="1:35" ht="25.5">
      <c r="A8" s="103">
        <v>5</v>
      </c>
      <c r="B8" s="80" t="s">
        <v>81</v>
      </c>
      <c r="C8" s="103">
        <v>885</v>
      </c>
      <c r="D8" s="103">
        <v>980</v>
      </c>
      <c r="E8" s="103">
        <v>960</v>
      </c>
      <c r="F8" s="103">
        <v>962</v>
      </c>
      <c r="G8" s="103">
        <v>927</v>
      </c>
      <c r="H8" s="103">
        <v>948</v>
      </c>
      <c r="I8" s="103">
        <v>981</v>
      </c>
      <c r="J8" s="103">
        <v>995</v>
      </c>
      <c r="K8" s="103">
        <v>994</v>
      </c>
      <c r="L8" s="103">
        <v>886</v>
      </c>
      <c r="M8" s="103">
        <v>1017</v>
      </c>
      <c r="N8" s="103">
        <v>949</v>
      </c>
      <c r="O8" s="103">
        <v>960</v>
      </c>
      <c r="P8" s="103">
        <v>946</v>
      </c>
      <c r="Q8" s="103">
        <v>905</v>
      </c>
      <c r="R8" s="103">
        <v>895</v>
      </c>
      <c r="S8" s="103">
        <v>883</v>
      </c>
      <c r="T8" s="103">
        <v>861</v>
      </c>
      <c r="U8" s="103">
        <v>882</v>
      </c>
      <c r="V8" s="103">
        <v>897</v>
      </c>
      <c r="W8" s="103">
        <v>878</v>
      </c>
      <c r="X8" s="103">
        <v>852</v>
      </c>
      <c r="Y8" s="103">
        <v>880</v>
      </c>
      <c r="Z8" s="103">
        <v>802</v>
      </c>
      <c r="AA8" s="103">
        <v>856</v>
      </c>
      <c r="AB8" s="103">
        <v>812</v>
      </c>
      <c r="AC8" s="103">
        <v>756</v>
      </c>
      <c r="AD8" s="103">
        <v>838</v>
      </c>
      <c r="AE8" s="103">
        <v>781</v>
      </c>
      <c r="AF8" s="103">
        <v>844</v>
      </c>
      <c r="AG8" s="103">
        <v>822</v>
      </c>
      <c r="AH8" s="103">
        <v>779</v>
      </c>
      <c r="AI8" s="103">
        <v>887</v>
      </c>
    </row>
    <row r="9" spans="1:35" ht="25.5">
      <c r="A9" s="103">
        <v>6</v>
      </c>
      <c r="B9" s="80" t="s">
        <v>82</v>
      </c>
      <c r="C9" s="103">
        <v>292</v>
      </c>
      <c r="D9" s="103">
        <v>334</v>
      </c>
      <c r="E9" s="103">
        <v>363</v>
      </c>
      <c r="F9" s="103">
        <v>339</v>
      </c>
      <c r="G9" s="103">
        <v>339</v>
      </c>
      <c r="H9" s="103">
        <v>355</v>
      </c>
      <c r="I9" s="103">
        <v>388</v>
      </c>
      <c r="J9" s="103">
        <v>375</v>
      </c>
      <c r="K9" s="103">
        <v>345</v>
      </c>
      <c r="L9" s="103">
        <v>321</v>
      </c>
      <c r="M9" s="103">
        <v>371</v>
      </c>
      <c r="N9" s="103">
        <v>370</v>
      </c>
      <c r="O9" s="103">
        <v>387</v>
      </c>
      <c r="P9" s="103">
        <v>393</v>
      </c>
      <c r="Q9" s="103">
        <v>361</v>
      </c>
      <c r="R9" s="103">
        <v>383</v>
      </c>
      <c r="S9" s="103">
        <v>352</v>
      </c>
      <c r="T9" s="103">
        <v>352</v>
      </c>
      <c r="U9" s="103">
        <v>370</v>
      </c>
      <c r="V9" s="103">
        <v>368</v>
      </c>
      <c r="W9" s="103">
        <v>351</v>
      </c>
      <c r="X9" s="103">
        <v>341</v>
      </c>
      <c r="Y9" s="103">
        <v>357</v>
      </c>
      <c r="Z9" s="103">
        <v>308</v>
      </c>
      <c r="AA9" s="103">
        <v>360</v>
      </c>
      <c r="AB9" s="103">
        <v>339</v>
      </c>
      <c r="AC9" s="103">
        <v>355</v>
      </c>
      <c r="AD9" s="103">
        <v>343</v>
      </c>
      <c r="AE9" s="103">
        <v>337</v>
      </c>
      <c r="AF9" s="103">
        <v>353</v>
      </c>
      <c r="AG9" s="103">
        <v>337</v>
      </c>
      <c r="AH9" s="103">
        <v>328</v>
      </c>
      <c r="AI9" s="103">
        <v>367</v>
      </c>
    </row>
    <row r="10" spans="1:35" ht="12.75">
      <c r="A10" s="103">
        <v>7</v>
      </c>
      <c r="B10" s="80" t="s">
        <v>83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5</v>
      </c>
      <c r="AC10" s="103">
        <v>7</v>
      </c>
      <c r="AD10" s="103">
        <v>12</v>
      </c>
      <c r="AE10" s="103">
        <v>12</v>
      </c>
      <c r="AF10" s="103">
        <v>25</v>
      </c>
      <c r="AG10" s="103">
        <v>24</v>
      </c>
      <c r="AH10" s="103">
        <v>34</v>
      </c>
      <c r="AI10" s="103">
        <v>40</v>
      </c>
    </row>
    <row r="11" spans="1:35" ht="25.5">
      <c r="A11" s="103">
        <v>8</v>
      </c>
      <c r="B11" s="80" t="s">
        <v>84</v>
      </c>
      <c r="C11" s="103">
        <v>46</v>
      </c>
      <c r="D11" s="103">
        <v>49</v>
      </c>
      <c r="E11" s="103">
        <v>43</v>
      </c>
      <c r="F11" s="103">
        <v>52</v>
      </c>
      <c r="G11" s="103">
        <v>42</v>
      </c>
      <c r="H11" s="103">
        <v>48</v>
      </c>
      <c r="I11" s="103">
        <v>44</v>
      </c>
      <c r="J11" s="103">
        <v>48</v>
      </c>
      <c r="K11" s="103">
        <v>46</v>
      </c>
      <c r="L11" s="103">
        <v>54</v>
      </c>
      <c r="M11" s="103">
        <v>45</v>
      </c>
      <c r="N11" s="103">
        <v>46</v>
      </c>
      <c r="O11" s="103">
        <v>55</v>
      </c>
      <c r="P11" s="103">
        <v>57</v>
      </c>
      <c r="Q11" s="103">
        <v>39</v>
      </c>
      <c r="R11" s="103">
        <v>58</v>
      </c>
      <c r="S11" s="103">
        <v>53</v>
      </c>
      <c r="T11" s="103">
        <v>52</v>
      </c>
      <c r="U11" s="103">
        <v>51</v>
      </c>
      <c r="V11" s="103">
        <v>62</v>
      </c>
      <c r="W11" s="103">
        <v>65</v>
      </c>
      <c r="X11" s="103">
        <v>61</v>
      </c>
      <c r="Y11" s="103">
        <v>63</v>
      </c>
      <c r="Z11" s="103">
        <v>49</v>
      </c>
      <c r="AA11" s="103">
        <v>65</v>
      </c>
      <c r="AB11" s="103">
        <v>54</v>
      </c>
      <c r="AC11" s="103">
        <v>52</v>
      </c>
      <c r="AD11" s="103">
        <v>57</v>
      </c>
      <c r="AE11" s="103">
        <v>59</v>
      </c>
      <c r="AF11" s="103">
        <v>61</v>
      </c>
      <c r="AG11" s="103">
        <v>56</v>
      </c>
      <c r="AH11" s="103">
        <v>49</v>
      </c>
      <c r="AI11" s="103">
        <v>49</v>
      </c>
    </row>
    <row r="12" spans="1:35" ht="25.5">
      <c r="A12" s="103">
        <v>9</v>
      </c>
      <c r="B12" s="80" t="s">
        <v>85</v>
      </c>
      <c r="C12" s="103">
        <v>109</v>
      </c>
      <c r="D12" s="103">
        <v>118</v>
      </c>
      <c r="E12" s="103">
        <v>123</v>
      </c>
      <c r="F12" s="103">
        <v>106</v>
      </c>
      <c r="G12" s="103">
        <v>103</v>
      </c>
      <c r="H12" s="103">
        <v>110</v>
      </c>
      <c r="I12" s="103">
        <v>108</v>
      </c>
      <c r="J12" s="103">
        <v>104</v>
      </c>
      <c r="K12" s="103">
        <v>112</v>
      </c>
      <c r="L12" s="103">
        <v>108</v>
      </c>
      <c r="M12" s="103">
        <v>108</v>
      </c>
      <c r="N12" s="103">
        <v>131</v>
      </c>
      <c r="O12" s="103">
        <v>106</v>
      </c>
      <c r="P12" s="103">
        <v>110</v>
      </c>
      <c r="Q12" s="103">
        <v>113</v>
      </c>
      <c r="R12" s="103">
        <v>114</v>
      </c>
      <c r="S12" s="103">
        <v>97</v>
      </c>
      <c r="T12" s="103">
        <v>104</v>
      </c>
      <c r="U12" s="103">
        <v>114</v>
      </c>
      <c r="V12" s="103">
        <v>106</v>
      </c>
      <c r="W12" s="103">
        <v>110</v>
      </c>
      <c r="X12" s="103">
        <v>84</v>
      </c>
      <c r="Y12" s="103">
        <v>104</v>
      </c>
      <c r="Z12" s="103">
        <v>94</v>
      </c>
      <c r="AA12" s="103">
        <v>99</v>
      </c>
      <c r="AB12" s="103">
        <v>97</v>
      </c>
      <c r="AC12" s="103">
        <v>96</v>
      </c>
      <c r="AD12" s="103">
        <v>92</v>
      </c>
      <c r="AE12" s="103">
        <v>97</v>
      </c>
      <c r="AF12" s="103">
        <v>107</v>
      </c>
      <c r="AG12" s="103">
        <v>98</v>
      </c>
      <c r="AH12" s="103">
        <v>91</v>
      </c>
      <c r="AI12" s="103">
        <v>95</v>
      </c>
    </row>
    <row r="13" spans="1:35" ht="25.5">
      <c r="A13" s="103">
        <v>10</v>
      </c>
      <c r="B13" s="80" t="s">
        <v>86</v>
      </c>
      <c r="C13" s="103">
        <v>60</v>
      </c>
      <c r="D13" s="103">
        <v>69</v>
      </c>
      <c r="E13" s="103">
        <v>65</v>
      </c>
      <c r="F13" s="103">
        <v>63</v>
      </c>
      <c r="G13" s="103">
        <v>65</v>
      </c>
      <c r="H13" s="103">
        <v>65</v>
      </c>
      <c r="I13" s="103">
        <v>62</v>
      </c>
      <c r="J13" s="103">
        <v>71</v>
      </c>
      <c r="K13" s="103">
        <v>69</v>
      </c>
      <c r="L13" s="103">
        <v>73</v>
      </c>
      <c r="M13" s="103">
        <v>72</v>
      </c>
      <c r="N13" s="103">
        <v>73</v>
      </c>
      <c r="O13" s="103">
        <v>71</v>
      </c>
      <c r="P13" s="103">
        <v>72</v>
      </c>
      <c r="Q13" s="103">
        <v>65</v>
      </c>
      <c r="R13" s="103">
        <v>65</v>
      </c>
      <c r="S13" s="103">
        <v>69</v>
      </c>
      <c r="T13" s="103">
        <v>69</v>
      </c>
      <c r="U13" s="103">
        <v>65</v>
      </c>
      <c r="V13" s="103">
        <v>67</v>
      </c>
      <c r="W13" s="103">
        <v>71</v>
      </c>
      <c r="X13" s="103">
        <v>65</v>
      </c>
      <c r="Y13" s="103">
        <v>67</v>
      </c>
      <c r="Z13" s="103">
        <v>53</v>
      </c>
      <c r="AA13" s="103">
        <v>66</v>
      </c>
      <c r="AB13" s="103">
        <v>67</v>
      </c>
      <c r="AC13" s="103">
        <v>60</v>
      </c>
      <c r="AD13" s="103">
        <v>70</v>
      </c>
      <c r="AE13" s="103">
        <v>64</v>
      </c>
      <c r="AF13" s="103">
        <v>58</v>
      </c>
      <c r="AG13" s="103">
        <v>63</v>
      </c>
      <c r="AH13" s="103">
        <v>58</v>
      </c>
      <c r="AI13" s="103">
        <v>67</v>
      </c>
    </row>
    <row r="14" spans="1:35" ht="12.75">
      <c r="A14" s="103">
        <v>11</v>
      </c>
      <c r="B14" s="80" t="s">
        <v>87</v>
      </c>
      <c r="C14" s="103">
        <v>439</v>
      </c>
      <c r="D14" s="103">
        <v>509</v>
      </c>
      <c r="E14" s="103">
        <v>483</v>
      </c>
      <c r="F14" s="103">
        <v>472</v>
      </c>
      <c r="G14" s="103">
        <v>487</v>
      </c>
      <c r="H14" s="103">
        <v>487</v>
      </c>
      <c r="I14" s="103">
        <v>515</v>
      </c>
      <c r="J14" s="103">
        <v>517</v>
      </c>
      <c r="K14" s="103">
        <v>516</v>
      </c>
      <c r="L14" s="103">
        <v>501</v>
      </c>
      <c r="M14" s="103">
        <v>533</v>
      </c>
      <c r="N14" s="103">
        <v>548</v>
      </c>
      <c r="O14" s="103">
        <v>561</v>
      </c>
      <c r="P14" s="103">
        <v>542</v>
      </c>
      <c r="Q14" s="103">
        <v>514</v>
      </c>
      <c r="R14" s="103">
        <v>496</v>
      </c>
      <c r="S14" s="103">
        <v>531</v>
      </c>
      <c r="T14" s="103">
        <v>507</v>
      </c>
      <c r="U14" s="103">
        <v>531</v>
      </c>
      <c r="V14" s="103">
        <v>497</v>
      </c>
      <c r="W14" s="103">
        <v>501</v>
      </c>
      <c r="X14" s="103">
        <v>481</v>
      </c>
      <c r="Y14" s="103">
        <v>531</v>
      </c>
      <c r="Z14" s="103">
        <v>472</v>
      </c>
      <c r="AA14" s="103">
        <v>538</v>
      </c>
      <c r="AB14" s="103">
        <v>528</v>
      </c>
      <c r="AC14" s="103">
        <v>507</v>
      </c>
      <c r="AD14" s="103">
        <v>527</v>
      </c>
      <c r="AE14" s="103">
        <v>509</v>
      </c>
      <c r="AF14" s="103">
        <v>519</v>
      </c>
      <c r="AG14" s="103">
        <v>500</v>
      </c>
      <c r="AH14" s="103">
        <v>493</v>
      </c>
      <c r="AI14" s="103">
        <v>551</v>
      </c>
    </row>
    <row r="15" spans="1:35" ht="12.75">
      <c r="A15" s="103">
        <v>12</v>
      </c>
      <c r="B15" s="80" t="s">
        <v>88</v>
      </c>
      <c r="C15" s="103">
        <v>158</v>
      </c>
      <c r="D15" s="103">
        <v>161</v>
      </c>
      <c r="E15" s="103">
        <v>151</v>
      </c>
      <c r="F15" s="103">
        <v>170</v>
      </c>
      <c r="G15" s="103">
        <v>174</v>
      </c>
      <c r="H15" s="103">
        <v>168</v>
      </c>
      <c r="I15" s="103">
        <v>179</v>
      </c>
      <c r="J15" s="103">
        <v>201</v>
      </c>
      <c r="K15" s="103">
        <v>203</v>
      </c>
      <c r="L15" s="103">
        <v>187</v>
      </c>
      <c r="M15" s="103">
        <v>204</v>
      </c>
      <c r="N15" s="103">
        <v>215</v>
      </c>
      <c r="O15" s="103">
        <v>203</v>
      </c>
      <c r="P15" s="103">
        <v>223</v>
      </c>
      <c r="Q15" s="103">
        <v>205</v>
      </c>
      <c r="R15" s="103">
        <v>214</v>
      </c>
      <c r="S15" s="103">
        <v>207</v>
      </c>
      <c r="T15" s="103">
        <v>187</v>
      </c>
      <c r="U15" s="103">
        <v>193</v>
      </c>
      <c r="V15" s="103">
        <v>193</v>
      </c>
      <c r="W15" s="103">
        <v>220</v>
      </c>
      <c r="X15" s="103">
        <v>183</v>
      </c>
      <c r="Y15" s="103">
        <v>200</v>
      </c>
      <c r="Z15" s="103">
        <v>176</v>
      </c>
      <c r="AA15" s="103">
        <v>196</v>
      </c>
      <c r="AB15" s="103">
        <v>188</v>
      </c>
      <c r="AC15" s="103">
        <v>177</v>
      </c>
      <c r="AD15" s="103">
        <v>188</v>
      </c>
      <c r="AE15" s="103">
        <v>197</v>
      </c>
      <c r="AF15" s="103">
        <v>199</v>
      </c>
      <c r="AG15" s="103">
        <v>196</v>
      </c>
      <c r="AH15" s="103">
        <v>197</v>
      </c>
      <c r="AI15" s="103">
        <v>213</v>
      </c>
    </row>
    <row r="16" spans="1:35" ht="12.75">
      <c r="A16" s="103">
        <v>13</v>
      </c>
      <c r="B16" s="80" t="s">
        <v>89</v>
      </c>
      <c r="C16" s="103">
        <v>182</v>
      </c>
      <c r="D16" s="103">
        <v>184</v>
      </c>
      <c r="E16" s="103">
        <v>174</v>
      </c>
      <c r="F16" s="103">
        <v>184</v>
      </c>
      <c r="G16" s="103">
        <v>178</v>
      </c>
      <c r="H16" s="103">
        <v>168</v>
      </c>
      <c r="I16" s="103">
        <v>179</v>
      </c>
      <c r="J16" s="103">
        <v>175</v>
      </c>
      <c r="K16" s="103">
        <v>178</v>
      </c>
      <c r="L16" s="103">
        <v>161</v>
      </c>
      <c r="M16" s="103">
        <v>188</v>
      </c>
      <c r="N16" s="103">
        <v>175</v>
      </c>
      <c r="O16" s="103">
        <v>183</v>
      </c>
      <c r="P16" s="103">
        <v>184</v>
      </c>
      <c r="Q16" s="103">
        <v>171</v>
      </c>
      <c r="R16" s="103">
        <v>180</v>
      </c>
      <c r="S16" s="103">
        <v>174</v>
      </c>
      <c r="T16" s="103">
        <v>169</v>
      </c>
      <c r="U16" s="103">
        <v>178</v>
      </c>
      <c r="V16" s="103">
        <v>166</v>
      </c>
      <c r="W16" s="103">
        <v>182</v>
      </c>
      <c r="X16" s="103">
        <v>176</v>
      </c>
      <c r="Y16" s="103">
        <v>176</v>
      </c>
      <c r="Z16" s="103">
        <v>167</v>
      </c>
      <c r="AA16" s="103">
        <v>173</v>
      </c>
      <c r="AB16" s="103">
        <v>179</v>
      </c>
      <c r="AC16" s="103">
        <v>181</v>
      </c>
      <c r="AD16" s="103">
        <v>180</v>
      </c>
      <c r="AE16" s="103">
        <v>170</v>
      </c>
      <c r="AF16" s="103">
        <v>162</v>
      </c>
      <c r="AG16" s="103">
        <v>155</v>
      </c>
      <c r="AH16" s="103">
        <v>170</v>
      </c>
      <c r="AI16" s="103">
        <v>185</v>
      </c>
    </row>
    <row r="17" spans="1:35" ht="12.75">
      <c r="A17" s="103">
        <v>14</v>
      </c>
      <c r="B17" s="80" t="s">
        <v>90</v>
      </c>
      <c r="C17" s="103">
        <v>3</v>
      </c>
      <c r="D17" s="103">
        <v>8</v>
      </c>
      <c r="E17" s="103">
        <v>6</v>
      </c>
      <c r="F17" s="103">
        <v>7</v>
      </c>
      <c r="G17" s="103">
        <v>10</v>
      </c>
      <c r="H17" s="103">
        <v>8</v>
      </c>
      <c r="I17" s="103">
        <v>10</v>
      </c>
      <c r="J17" s="103">
        <v>7</v>
      </c>
      <c r="K17" s="103">
        <v>10</v>
      </c>
      <c r="L17" s="103">
        <v>11</v>
      </c>
      <c r="M17" s="103">
        <v>12</v>
      </c>
      <c r="N17" s="103">
        <v>17</v>
      </c>
      <c r="O17" s="103">
        <v>15</v>
      </c>
      <c r="P17" s="103">
        <v>10</v>
      </c>
      <c r="Q17" s="103">
        <v>13</v>
      </c>
      <c r="R17" s="103">
        <v>15</v>
      </c>
      <c r="S17" s="103">
        <v>13</v>
      </c>
      <c r="T17" s="103">
        <v>11</v>
      </c>
      <c r="U17" s="103">
        <v>15</v>
      </c>
      <c r="V17" s="103">
        <v>10</v>
      </c>
      <c r="W17" s="103">
        <v>8</v>
      </c>
      <c r="X17" s="103">
        <v>12</v>
      </c>
      <c r="Y17" s="103">
        <v>6</v>
      </c>
      <c r="Z17" s="103">
        <v>12</v>
      </c>
      <c r="AA17" s="103">
        <v>9</v>
      </c>
      <c r="AB17" s="103">
        <v>12</v>
      </c>
      <c r="AC17" s="103">
        <v>10</v>
      </c>
      <c r="AD17" s="103">
        <v>13</v>
      </c>
      <c r="AE17" s="103">
        <v>14</v>
      </c>
      <c r="AF17" s="103">
        <v>18</v>
      </c>
      <c r="AG17" s="103">
        <v>17</v>
      </c>
      <c r="AH17" s="103">
        <v>17</v>
      </c>
      <c r="AI17" s="103">
        <v>28</v>
      </c>
    </row>
    <row r="18" spans="1:35" ht="12.75">
      <c r="A18" s="103">
        <v>15</v>
      </c>
      <c r="B18" s="80" t="s">
        <v>91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34</v>
      </c>
      <c r="Y18" s="103">
        <v>73</v>
      </c>
      <c r="Z18" s="103">
        <v>96</v>
      </c>
      <c r="AA18" s="103">
        <v>127</v>
      </c>
      <c r="AB18" s="103">
        <v>136</v>
      </c>
      <c r="AC18" s="103">
        <v>148</v>
      </c>
      <c r="AD18" s="103">
        <v>144</v>
      </c>
      <c r="AE18" s="103">
        <v>163</v>
      </c>
      <c r="AF18" s="103">
        <v>191</v>
      </c>
      <c r="AG18" s="103">
        <v>214</v>
      </c>
      <c r="AH18" s="103">
        <v>193</v>
      </c>
      <c r="AI18" s="103">
        <v>230</v>
      </c>
    </row>
    <row r="19" spans="1:35" ht="12.75">
      <c r="A19" s="103">
        <v>16</v>
      </c>
      <c r="B19" s="80" t="s">
        <v>92</v>
      </c>
      <c r="C19" s="103">
        <v>59</v>
      </c>
      <c r="D19" s="103">
        <v>105</v>
      </c>
      <c r="E19" s="103">
        <v>124</v>
      </c>
      <c r="F19" s="103">
        <v>113</v>
      </c>
      <c r="G19" s="103">
        <v>123</v>
      </c>
      <c r="H19" s="103">
        <v>130</v>
      </c>
      <c r="I19" s="103">
        <v>132</v>
      </c>
      <c r="J19" s="103">
        <v>107</v>
      </c>
      <c r="K19" s="103">
        <v>129</v>
      </c>
      <c r="L19" s="103">
        <v>118</v>
      </c>
      <c r="M19" s="103">
        <v>147</v>
      </c>
      <c r="N19" s="103">
        <v>160</v>
      </c>
      <c r="O19" s="103">
        <v>178</v>
      </c>
      <c r="P19" s="103">
        <v>192</v>
      </c>
      <c r="Q19" s="103">
        <v>168</v>
      </c>
      <c r="R19" s="103">
        <v>182</v>
      </c>
      <c r="S19" s="103">
        <v>182</v>
      </c>
      <c r="T19" s="103">
        <v>199</v>
      </c>
      <c r="U19" s="103">
        <v>196</v>
      </c>
      <c r="V19" s="103">
        <v>195</v>
      </c>
      <c r="W19" s="103">
        <v>208</v>
      </c>
      <c r="X19" s="103">
        <v>217</v>
      </c>
      <c r="Y19" s="103">
        <v>231</v>
      </c>
      <c r="Z19" s="103">
        <v>212</v>
      </c>
      <c r="AA19" s="103">
        <v>223</v>
      </c>
      <c r="AB19" s="103">
        <v>243</v>
      </c>
      <c r="AC19" s="103">
        <v>214</v>
      </c>
      <c r="AD19" s="103">
        <v>229</v>
      </c>
      <c r="AE19" s="103">
        <v>227</v>
      </c>
      <c r="AF19" s="103">
        <v>253</v>
      </c>
      <c r="AG19" s="103">
        <v>232</v>
      </c>
      <c r="AH19" s="103">
        <v>233</v>
      </c>
      <c r="AI19" s="103">
        <v>242</v>
      </c>
    </row>
    <row r="20" spans="1:35" ht="12.75">
      <c r="A20" s="103">
        <v>17</v>
      </c>
      <c r="B20" s="80" t="s">
        <v>93</v>
      </c>
      <c r="C20" s="103">
        <v>4</v>
      </c>
      <c r="D20" s="103">
        <v>9</v>
      </c>
      <c r="E20" s="103">
        <v>9</v>
      </c>
      <c r="F20" s="103">
        <v>9</v>
      </c>
      <c r="G20" s="103">
        <v>14</v>
      </c>
      <c r="H20" s="103">
        <v>16</v>
      </c>
      <c r="I20" s="103">
        <v>21</v>
      </c>
      <c r="J20" s="103">
        <v>15</v>
      </c>
      <c r="K20" s="103">
        <v>14</v>
      </c>
      <c r="L20" s="103">
        <v>19</v>
      </c>
      <c r="M20" s="103">
        <v>25</v>
      </c>
      <c r="N20" s="103">
        <v>19</v>
      </c>
      <c r="O20" s="103">
        <v>19</v>
      </c>
      <c r="P20" s="103">
        <v>20</v>
      </c>
      <c r="Q20" s="103">
        <v>16</v>
      </c>
      <c r="R20" s="103">
        <v>18</v>
      </c>
      <c r="S20" s="103">
        <v>21</v>
      </c>
      <c r="T20" s="103">
        <v>17</v>
      </c>
      <c r="U20" s="103">
        <v>27</v>
      </c>
      <c r="V20" s="103">
        <v>26</v>
      </c>
      <c r="W20" s="103">
        <v>23</v>
      </c>
      <c r="X20" s="103">
        <v>20</v>
      </c>
      <c r="Y20" s="103">
        <v>27</v>
      </c>
      <c r="Z20" s="103">
        <v>21</v>
      </c>
      <c r="AA20" s="103">
        <v>28</v>
      </c>
      <c r="AB20" s="103">
        <v>26</v>
      </c>
      <c r="AC20" s="103">
        <v>23</v>
      </c>
      <c r="AD20" s="103">
        <v>34</v>
      </c>
      <c r="AE20" s="103">
        <v>24</v>
      </c>
      <c r="AF20" s="103">
        <v>33</v>
      </c>
      <c r="AG20" s="103">
        <v>28</v>
      </c>
      <c r="AH20" s="103">
        <v>25</v>
      </c>
      <c r="AI20" s="103">
        <v>30</v>
      </c>
    </row>
    <row r="21" spans="1:35" ht="12.75">
      <c r="A21" s="103">
        <v>18</v>
      </c>
      <c r="B21" s="80" t="s">
        <v>94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5</v>
      </c>
      <c r="L21" s="103">
        <v>13</v>
      </c>
      <c r="M21" s="103">
        <v>30</v>
      </c>
      <c r="N21" s="103">
        <v>42</v>
      </c>
      <c r="O21" s="103">
        <v>45</v>
      </c>
      <c r="P21" s="103">
        <v>75</v>
      </c>
      <c r="Q21" s="103">
        <v>66</v>
      </c>
      <c r="R21" s="103">
        <v>76</v>
      </c>
      <c r="S21" s="103">
        <v>103</v>
      </c>
      <c r="T21" s="103">
        <v>103</v>
      </c>
      <c r="U21" s="103">
        <v>104</v>
      </c>
      <c r="V21" s="103">
        <v>126</v>
      </c>
      <c r="W21" s="103">
        <v>123</v>
      </c>
      <c r="X21" s="103">
        <v>147</v>
      </c>
      <c r="Y21" s="103">
        <v>150</v>
      </c>
      <c r="Z21" s="103">
        <v>119</v>
      </c>
      <c r="AA21" s="103">
        <v>142</v>
      </c>
      <c r="AB21" s="103">
        <v>141</v>
      </c>
      <c r="AC21" s="103">
        <v>141</v>
      </c>
      <c r="AD21" s="103">
        <v>142</v>
      </c>
      <c r="AE21" s="103">
        <v>140</v>
      </c>
      <c r="AF21" s="103">
        <v>159</v>
      </c>
      <c r="AG21" s="103">
        <v>154</v>
      </c>
      <c r="AH21" s="103">
        <v>139</v>
      </c>
      <c r="AI21" s="103">
        <v>161</v>
      </c>
    </row>
    <row r="22" spans="1:35" ht="12.75">
      <c r="A22" s="103">
        <v>19</v>
      </c>
      <c r="B22" s="80" t="s">
        <v>95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2</v>
      </c>
      <c r="X22" s="103">
        <v>9</v>
      </c>
      <c r="Y22" s="103">
        <v>23</v>
      </c>
      <c r="Z22" s="103">
        <v>24</v>
      </c>
      <c r="AA22" s="103">
        <v>27</v>
      </c>
      <c r="AB22" s="103">
        <v>34</v>
      </c>
      <c r="AC22" s="103">
        <v>34</v>
      </c>
      <c r="AD22" s="103">
        <v>32</v>
      </c>
      <c r="AE22" s="103">
        <v>34</v>
      </c>
      <c r="AF22" s="103">
        <v>33</v>
      </c>
      <c r="AG22" s="103">
        <v>35</v>
      </c>
      <c r="AH22" s="103">
        <v>36</v>
      </c>
      <c r="AI22" s="103">
        <v>45</v>
      </c>
    </row>
    <row r="23" spans="1:35" ht="12.75">
      <c r="A23" s="103">
        <v>20</v>
      </c>
      <c r="B23" s="80" t="s">
        <v>96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6</v>
      </c>
      <c r="Y23" s="103">
        <v>9</v>
      </c>
      <c r="Z23" s="103">
        <v>9</v>
      </c>
      <c r="AA23" s="103">
        <v>20</v>
      </c>
      <c r="AB23" s="103">
        <v>19</v>
      </c>
      <c r="AC23" s="103">
        <v>23</v>
      </c>
      <c r="AD23" s="103">
        <v>27</v>
      </c>
      <c r="AE23" s="103">
        <v>31</v>
      </c>
      <c r="AF23" s="103">
        <v>41</v>
      </c>
      <c r="AG23" s="103">
        <v>30</v>
      </c>
      <c r="AH23" s="103">
        <v>29</v>
      </c>
      <c r="AI23" s="103">
        <v>33</v>
      </c>
    </row>
    <row r="24" spans="1:35" ht="12.75">
      <c r="A24" s="103">
        <v>21</v>
      </c>
      <c r="B24" s="80" t="s">
        <v>97</v>
      </c>
      <c r="C24" s="103">
        <v>5</v>
      </c>
      <c r="D24" s="103">
        <v>11</v>
      </c>
      <c r="E24" s="103">
        <v>8</v>
      </c>
      <c r="F24" s="103">
        <v>6</v>
      </c>
      <c r="G24" s="103">
        <v>7</v>
      </c>
      <c r="H24" s="103">
        <v>11</v>
      </c>
      <c r="I24" s="103">
        <v>13</v>
      </c>
      <c r="J24" s="103">
        <v>10</v>
      </c>
      <c r="K24" s="103">
        <v>12</v>
      </c>
      <c r="L24" s="103">
        <v>9</v>
      </c>
      <c r="M24" s="103">
        <v>10</v>
      </c>
      <c r="N24" s="103">
        <v>9</v>
      </c>
      <c r="O24" s="103">
        <v>15</v>
      </c>
      <c r="P24" s="103">
        <v>11</v>
      </c>
      <c r="Q24" s="103">
        <v>12</v>
      </c>
      <c r="R24" s="103">
        <v>14</v>
      </c>
      <c r="S24" s="103">
        <v>13</v>
      </c>
      <c r="T24" s="103">
        <v>12</v>
      </c>
      <c r="U24" s="103">
        <v>11</v>
      </c>
      <c r="V24" s="103">
        <v>12</v>
      </c>
      <c r="W24" s="103">
        <v>16</v>
      </c>
      <c r="X24" s="103">
        <v>14</v>
      </c>
      <c r="Y24" s="103">
        <v>10</v>
      </c>
      <c r="Z24" s="103">
        <v>12</v>
      </c>
      <c r="AA24" s="103">
        <v>11</v>
      </c>
      <c r="AB24" s="103">
        <v>15</v>
      </c>
      <c r="AC24" s="103">
        <v>12</v>
      </c>
      <c r="AD24" s="103">
        <v>15</v>
      </c>
      <c r="AE24" s="103">
        <v>16</v>
      </c>
      <c r="AF24" s="103">
        <v>19</v>
      </c>
      <c r="AG24" s="103">
        <v>17</v>
      </c>
      <c r="AH24" s="103">
        <v>12</v>
      </c>
      <c r="AI24" s="103">
        <v>14</v>
      </c>
    </row>
    <row r="25" spans="1:35" ht="25.5">
      <c r="A25" s="103">
        <v>22</v>
      </c>
      <c r="B25" s="80" t="s">
        <v>98</v>
      </c>
      <c r="C25" s="103">
        <v>68</v>
      </c>
      <c r="D25" s="103">
        <v>83</v>
      </c>
      <c r="E25" s="103">
        <v>68</v>
      </c>
      <c r="F25" s="103">
        <v>76</v>
      </c>
      <c r="G25" s="103">
        <v>81</v>
      </c>
      <c r="H25" s="103">
        <v>67</v>
      </c>
      <c r="I25" s="103">
        <v>78</v>
      </c>
      <c r="J25" s="103">
        <v>73</v>
      </c>
      <c r="K25" s="103">
        <v>75</v>
      </c>
      <c r="L25" s="103">
        <v>65</v>
      </c>
      <c r="M25" s="103">
        <v>85</v>
      </c>
      <c r="N25" s="103">
        <v>72</v>
      </c>
      <c r="O25" s="103">
        <v>83</v>
      </c>
      <c r="P25" s="103">
        <v>68</v>
      </c>
      <c r="Q25" s="103">
        <v>66</v>
      </c>
      <c r="R25" s="103">
        <v>61</v>
      </c>
      <c r="S25" s="103">
        <v>73</v>
      </c>
      <c r="T25" s="103">
        <v>68</v>
      </c>
      <c r="U25" s="103">
        <v>62</v>
      </c>
      <c r="V25" s="103">
        <v>69</v>
      </c>
      <c r="W25" s="103">
        <v>57</v>
      </c>
      <c r="X25" s="103">
        <v>65</v>
      </c>
      <c r="Y25" s="103">
        <v>66</v>
      </c>
      <c r="Z25" s="103">
        <v>59</v>
      </c>
      <c r="AA25" s="103">
        <v>69</v>
      </c>
      <c r="AB25" s="103">
        <v>65</v>
      </c>
      <c r="AC25" s="103">
        <v>60</v>
      </c>
      <c r="AD25" s="103">
        <v>56</v>
      </c>
      <c r="AE25" s="103">
        <v>67</v>
      </c>
      <c r="AF25" s="103">
        <v>55</v>
      </c>
      <c r="AG25" s="103">
        <v>67</v>
      </c>
      <c r="AH25" s="103">
        <v>63</v>
      </c>
      <c r="AI25" s="103">
        <v>60</v>
      </c>
    </row>
    <row r="26" spans="1:35" ht="25.5">
      <c r="A26" s="103">
        <v>23</v>
      </c>
      <c r="B26" s="80" t="s">
        <v>99</v>
      </c>
      <c r="C26" s="103">
        <v>30</v>
      </c>
      <c r="D26" s="103">
        <v>39</v>
      </c>
      <c r="E26" s="103">
        <v>45</v>
      </c>
      <c r="F26" s="103">
        <v>29</v>
      </c>
      <c r="G26" s="103">
        <v>34</v>
      </c>
      <c r="H26" s="103">
        <v>26</v>
      </c>
      <c r="I26" s="103">
        <v>29</v>
      </c>
      <c r="J26" s="103">
        <v>28</v>
      </c>
      <c r="K26" s="103">
        <v>30</v>
      </c>
      <c r="L26" s="103">
        <v>30</v>
      </c>
      <c r="M26" s="103">
        <v>32</v>
      </c>
      <c r="N26" s="103">
        <v>29</v>
      </c>
      <c r="O26" s="103">
        <v>31</v>
      </c>
      <c r="P26" s="103">
        <v>27</v>
      </c>
      <c r="Q26" s="103">
        <v>26</v>
      </c>
      <c r="R26" s="103">
        <v>29</v>
      </c>
      <c r="S26" s="103">
        <v>30</v>
      </c>
      <c r="T26" s="103">
        <v>31</v>
      </c>
      <c r="U26" s="103">
        <v>31</v>
      </c>
      <c r="V26" s="103">
        <v>36</v>
      </c>
      <c r="W26" s="103">
        <v>32</v>
      </c>
      <c r="X26" s="103">
        <v>31</v>
      </c>
      <c r="Y26" s="103">
        <v>28</v>
      </c>
      <c r="Z26" s="103">
        <v>27</v>
      </c>
      <c r="AA26" s="103">
        <v>28</v>
      </c>
      <c r="AB26" s="103">
        <v>24</v>
      </c>
      <c r="AC26" s="103">
        <v>24</v>
      </c>
      <c r="AD26" s="103">
        <v>29</v>
      </c>
      <c r="AE26" s="103">
        <v>21</v>
      </c>
      <c r="AF26" s="103">
        <v>27</v>
      </c>
      <c r="AG26" s="103">
        <v>25</v>
      </c>
      <c r="AH26" s="103">
        <v>27</v>
      </c>
      <c r="AI26" s="103">
        <v>27</v>
      </c>
    </row>
    <row r="27" spans="1:35" ht="25.5">
      <c r="A27" s="103">
        <v>24</v>
      </c>
      <c r="B27" s="80" t="s">
        <v>100</v>
      </c>
      <c r="C27" s="103">
        <v>15</v>
      </c>
      <c r="D27" s="103">
        <v>13</v>
      </c>
      <c r="E27" s="103">
        <v>11</v>
      </c>
      <c r="F27" s="103">
        <v>14</v>
      </c>
      <c r="G27" s="103">
        <v>15</v>
      </c>
      <c r="H27" s="103">
        <v>18</v>
      </c>
      <c r="I27" s="103">
        <v>15</v>
      </c>
      <c r="J27" s="103">
        <v>15</v>
      </c>
      <c r="K27" s="103">
        <v>17</v>
      </c>
      <c r="L27" s="103">
        <v>17</v>
      </c>
      <c r="M27" s="103">
        <v>12</v>
      </c>
      <c r="N27" s="103">
        <v>15</v>
      </c>
      <c r="O27" s="103">
        <v>12</v>
      </c>
      <c r="P27" s="103">
        <v>12</v>
      </c>
      <c r="Q27" s="103">
        <v>10</v>
      </c>
      <c r="R27" s="103">
        <v>12</v>
      </c>
      <c r="S27" s="103">
        <v>14</v>
      </c>
      <c r="T27" s="103">
        <v>12</v>
      </c>
      <c r="U27" s="103">
        <v>17</v>
      </c>
      <c r="V27" s="103">
        <v>13</v>
      </c>
      <c r="W27" s="103">
        <v>13</v>
      </c>
      <c r="X27" s="103">
        <v>11</v>
      </c>
      <c r="Y27" s="103">
        <v>13</v>
      </c>
      <c r="Z27" s="103">
        <v>14</v>
      </c>
      <c r="AA27" s="103">
        <v>17</v>
      </c>
      <c r="AB27" s="103">
        <v>16</v>
      </c>
      <c r="AC27" s="103">
        <v>15</v>
      </c>
      <c r="AD27" s="103">
        <v>15</v>
      </c>
      <c r="AE27" s="103">
        <v>16</v>
      </c>
      <c r="AF27" s="103">
        <v>14</v>
      </c>
      <c r="AG27" s="103">
        <v>11</v>
      </c>
      <c r="AH27" s="103">
        <v>16</v>
      </c>
      <c r="AI27" s="103">
        <v>19</v>
      </c>
    </row>
    <row r="28" spans="1:35" ht="25.5">
      <c r="A28" s="103">
        <v>25</v>
      </c>
      <c r="B28" s="80" t="s">
        <v>101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0</v>
      </c>
      <c r="Y28" s="103">
        <v>47</v>
      </c>
      <c r="Z28" s="103">
        <v>91</v>
      </c>
      <c r="AA28" s="103">
        <v>144</v>
      </c>
      <c r="AB28" s="103">
        <v>188</v>
      </c>
      <c r="AC28" s="103">
        <v>199</v>
      </c>
      <c r="AD28" s="103">
        <v>227</v>
      </c>
      <c r="AE28" s="103">
        <v>232</v>
      </c>
      <c r="AF28" s="103">
        <v>245</v>
      </c>
      <c r="AG28" s="103">
        <v>254</v>
      </c>
      <c r="AH28" s="103">
        <v>264</v>
      </c>
      <c r="AI28" s="103">
        <v>293</v>
      </c>
    </row>
    <row r="29" spans="1:35" ht="25.5">
      <c r="A29" s="103">
        <v>26</v>
      </c>
      <c r="B29" s="80" t="s">
        <v>102</v>
      </c>
      <c r="C29" s="103">
        <v>431</v>
      </c>
      <c r="D29" s="103">
        <v>503</v>
      </c>
      <c r="E29" s="103">
        <v>459</v>
      </c>
      <c r="F29" s="103">
        <v>501</v>
      </c>
      <c r="G29" s="103">
        <v>489</v>
      </c>
      <c r="H29" s="103">
        <v>486</v>
      </c>
      <c r="I29" s="103">
        <v>537</v>
      </c>
      <c r="J29" s="103">
        <v>528</v>
      </c>
      <c r="K29" s="103">
        <v>534</v>
      </c>
      <c r="L29" s="103">
        <v>520</v>
      </c>
      <c r="M29" s="103">
        <v>579</v>
      </c>
      <c r="N29" s="103">
        <v>550</v>
      </c>
      <c r="O29" s="103">
        <v>569</v>
      </c>
      <c r="P29" s="103">
        <v>547</v>
      </c>
      <c r="Q29" s="103">
        <v>532</v>
      </c>
      <c r="R29" s="103">
        <v>547</v>
      </c>
      <c r="S29" s="103">
        <v>533</v>
      </c>
      <c r="T29" s="103">
        <v>529</v>
      </c>
      <c r="U29" s="103">
        <v>569</v>
      </c>
      <c r="V29" s="103">
        <v>537</v>
      </c>
      <c r="W29" s="103">
        <v>537</v>
      </c>
      <c r="X29" s="103">
        <v>489</v>
      </c>
      <c r="Y29" s="103">
        <v>506</v>
      </c>
      <c r="Z29" s="103">
        <v>395</v>
      </c>
      <c r="AA29" s="103">
        <v>408</v>
      </c>
      <c r="AB29" s="103">
        <v>382</v>
      </c>
      <c r="AC29" s="103">
        <v>323</v>
      </c>
      <c r="AD29" s="103">
        <v>341</v>
      </c>
      <c r="AE29" s="103">
        <v>313</v>
      </c>
      <c r="AF29" s="103">
        <v>317</v>
      </c>
      <c r="AG29" s="103">
        <v>301</v>
      </c>
      <c r="AH29" s="103">
        <v>263</v>
      </c>
      <c r="AI29" s="103">
        <v>281</v>
      </c>
    </row>
    <row r="30" spans="1:35" ht="25.5">
      <c r="A30" s="103">
        <v>27</v>
      </c>
      <c r="B30" s="80" t="s">
        <v>103</v>
      </c>
      <c r="C30" s="103">
        <v>333</v>
      </c>
      <c r="D30" s="103">
        <v>383</v>
      </c>
      <c r="E30" s="103">
        <v>331</v>
      </c>
      <c r="F30" s="103">
        <v>348</v>
      </c>
      <c r="G30" s="103">
        <v>353</v>
      </c>
      <c r="H30" s="103">
        <v>352</v>
      </c>
      <c r="I30" s="103">
        <v>365</v>
      </c>
      <c r="J30" s="103">
        <v>359</v>
      </c>
      <c r="K30" s="103">
        <v>329</v>
      </c>
      <c r="L30" s="103">
        <v>292</v>
      </c>
      <c r="M30" s="103">
        <v>352</v>
      </c>
      <c r="N30" s="103">
        <v>326</v>
      </c>
      <c r="O30" s="103">
        <v>331</v>
      </c>
      <c r="P30" s="103">
        <v>336</v>
      </c>
      <c r="Q30" s="103">
        <v>322</v>
      </c>
      <c r="R30" s="103">
        <v>331</v>
      </c>
      <c r="S30" s="103">
        <v>343</v>
      </c>
      <c r="T30" s="103">
        <v>336</v>
      </c>
      <c r="U30" s="103">
        <v>333</v>
      </c>
      <c r="V30" s="103">
        <v>350</v>
      </c>
      <c r="W30" s="103">
        <v>314</v>
      </c>
      <c r="X30" s="103">
        <v>325</v>
      </c>
      <c r="Y30" s="103">
        <v>325</v>
      </c>
      <c r="Z30" s="103">
        <v>295</v>
      </c>
      <c r="AA30" s="103">
        <v>320</v>
      </c>
      <c r="AB30" s="103">
        <v>296</v>
      </c>
      <c r="AC30" s="103">
        <v>277</v>
      </c>
      <c r="AD30" s="103">
        <v>292</v>
      </c>
      <c r="AE30" s="103">
        <v>289</v>
      </c>
      <c r="AF30" s="103">
        <v>312</v>
      </c>
      <c r="AG30" s="103">
        <v>291</v>
      </c>
      <c r="AH30" s="103">
        <v>282</v>
      </c>
      <c r="AI30" s="103">
        <v>295</v>
      </c>
    </row>
    <row r="31" spans="1:35" ht="25.5">
      <c r="A31" s="103">
        <v>28</v>
      </c>
      <c r="B31" s="80" t="s">
        <v>104</v>
      </c>
      <c r="C31" s="103">
        <v>111</v>
      </c>
      <c r="D31" s="103">
        <v>143</v>
      </c>
      <c r="E31" s="103">
        <v>138</v>
      </c>
      <c r="F31" s="103">
        <v>110</v>
      </c>
      <c r="G31" s="103">
        <v>130</v>
      </c>
      <c r="H31" s="103">
        <v>119</v>
      </c>
      <c r="I31" s="103">
        <v>123</v>
      </c>
      <c r="J31" s="103">
        <v>128</v>
      </c>
      <c r="K31" s="103">
        <v>116</v>
      </c>
      <c r="L31" s="103">
        <v>114</v>
      </c>
      <c r="M31" s="103">
        <v>118</v>
      </c>
      <c r="N31" s="103">
        <v>107</v>
      </c>
      <c r="O31" s="103">
        <v>117</v>
      </c>
      <c r="P31" s="103">
        <v>113</v>
      </c>
      <c r="Q31" s="103">
        <v>103</v>
      </c>
      <c r="R31" s="103">
        <v>114</v>
      </c>
      <c r="S31" s="103">
        <v>118</v>
      </c>
      <c r="T31" s="103">
        <v>121</v>
      </c>
      <c r="U31" s="103">
        <v>111</v>
      </c>
      <c r="V31" s="103">
        <v>115</v>
      </c>
      <c r="W31" s="103">
        <v>120</v>
      </c>
      <c r="X31" s="103">
        <v>107</v>
      </c>
      <c r="Y31" s="103">
        <v>117</v>
      </c>
      <c r="Z31" s="103">
        <v>101</v>
      </c>
      <c r="AA31" s="103">
        <v>104</v>
      </c>
      <c r="AB31" s="103">
        <v>107</v>
      </c>
      <c r="AC31" s="103">
        <v>94</v>
      </c>
      <c r="AD31" s="103">
        <v>103</v>
      </c>
      <c r="AE31" s="103">
        <v>94</v>
      </c>
      <c r="AF31" s="103">
        <v>106</v>
      </c>
      <c r="AG31" s="103">
        <v>104</v>
      </c>
      <c r="AH31" s="103">
        <v>89</v>
      </c>
      <c r="AI31" s="103">
        <v>100</v>
      </c>
    </row>
    <row r="32" spans="1:35" ht="12.75">
      <c r="A32" s="103">
        <v>29</v>
      </c>
      <c r="B32" s="80" t="s">
        <v>107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0</v>
      </c>
      <c r="AE32" s="103">
        <v>0</v>
      </c>
      <c r="AF32" s="103">
        <v>0</v>
      </c>
      <c r="AG32" s="103">
        <v>0</v>
      </c>
      <c r="AH32" s="103">
        <v>0</v>
      </c>
      <c r="AI32" s="103">
        <v>5</v>
      </c>
    </row>
    <row r="34" spans="1:35" s="70" customFormat="1" ht="13.5" thickBot="1">
      <c r="A34" s="94" t="s">
        <v>112</v>
      </c>
      <c r="B34" s="94" t="s">
        <v>111</v>
      </c>
      <c r="C34" s="105">
        <v>38108</v>
      </c>
      <c r="D34" s="105">
        <v>38139</v>
      </c>
      <c r="E34" s="105">
        <v>38169</v>
      </c>
      <c r="F34" s="105">
        <v>38200</v>
      </c>
      <c r="G34" s="105">
        <v>38231</v>
      </c>
      <c r="H34" s="105">
        <v>38261</v>
      </c>
      <c r="I34" s="105">
        <v>38292</v>
      </c>
      <c r="J34" s="105">
        <v>38322</v>
      </c>
      <c r="K34" s="105">
        <v>38353</v>
      </c>
      <c r="L34" s="105">
        <v>38384</v>
      </c>
      <c r="M34" s="105">
        <v>38412</v>
      </c>
      <c r="N34" s="105">
        <v>38443</v>
      </c>
      <c r="O34" s="105">
        <v>38473</v>
      </c>
      <c r="P34" s="105">
        <v>38504</v>
      </c>
      <c r="Q34" s="105">
        <v>38534</v>
      </c>
      <c r="R34" s="105">
        <v>38565</v>
      </c>
      <c r="S34" s="105">
        <v>38596</v>
      </c>
      <c r="T34" s="105">
        <v>38626</v>
      </c>
      <c r="U34" s="105">
        <v>38657</v>
      </c>
      <c r="V34" s="105">
        <v>38687</v>
      </c>
      <c r="W34" s="105">
        <v>38718</v>
      </c>
      <c r="X34" s="105">
        <v>38749</v>
      </c>
      <c r="Y34" s="105">
        <v>38777</v>
      </c>
      <c r="Z34" s="105">
        <v>38808</v>
      </c>
      <c r="AA34" s="105">
        <v>38838</v>
      </c>
      <c r="AB34" s="105">
        <v>38869</v>
      </c>
      <c r="AC34" s="105">
        <v>38899</v>
      </c>
      <c r="AD34" s="105">
        <v>38930</v>
      </c>
      <c r="AE34" s="105">
        <v>38961</v>
      </c>
      <c r="AF34" s="105">
        <v>38991</v>
      </c>
      <c r="AG34" s="105">
        <v>39022</v>
      </c>
      <c r="AH34" s="105">
        <v>39052</v>
      </c>
      <c r="AI34" s="105">
        <v>39083</v>
      </c>
    </row>
    <row r="35" spans="1:35" ht="26.25" thickTop="1">
      <c r="A35">
        <v>1</v>
      </c>
      <c r="B35" s="92" t="s">
        <v>77</v>
      </c>
      <c r="C35" s="104">
        <f>VLOOKUP(1,$A$4:$AZ$32,3,FALSE)</f>
        <v>0</v>
      </c>
      <c r="D35" s="104">
        <f>VLOOKUP(1,$A$4:$AZ$32,4,FALSE)</f>
        <v>0</v>
      </c>
      <c r="E35" s="104">
        <f>VLOOKUP(1,$A$4:$AZ$32,5,FALSE)</f>
        <v>0</v>
      </c>
      <c r="F35" s="104">
        <f>VLOOKUP(1,$A$4:$AZ$32,6,FALSE)</f>
        <v>0</v>
      </c>
      <c r="G35" s="104">
        <f>VLOOKUP(1,$A$4:$AZ$32,7,FALSE)</f>
        <v>0</v>
      </c>
      <c r="H35" s="104">
        <f>VLOOKUP(1,$A$4:$AZ$32,8,FALSE)</f>
        <v>0</v>
      </c>
      <c r="I35" s="104">
        <f>VLOOKUP(1,$A$4:$AZ$32,9,FALSE)</f>
        <v>0</v>
      </c>
      <c r="J35" s="104">
        <f>VLOOKUP(1,$A$4:$AZ$32,10,FALSE)</f>
        <v>0</v>
      </c>
      <c r="K35" s="104">
        <f>VLOOKUP(1,$A$4:$AZ$32,11,FALSE)</f>
        <v>0</v>
      </c>
      <c r="L35" s="104">
        <f>VLOOKUP(1,$A$4:$AZ$32,12,FALSE)</f>
        <v>0</v>
      </c>
      <c r="M35" s="104">
        <f>VLOOKUP(1,$A$4:$AZ$32,13,FALSE)</f>
        <v>0</v>
      </c>
      <c r="N35" s="104">
        <f>VLOOKUP(1,$A$4:$AZ$32,14,FALSE)</f>
        <v>0</v>
      </c>
      <c r="O35" s="104">
        <f>VLOOKUP(1,$A$4:$AZ$32,15,FALSE)</f>
        <v>0</v>
      </c>
      <c r="P35" s="104">
        <f>VLOOKUP(1,$A$4:$AZ$32,16,FALSE)</f>
        <v>0</v>
      </c>
      <c r="Q35" s="104">
        <f>VLOOKUP(1,$A$4:$AZ$32,17,FALSE)</f>
        <v>0</v>
      </c>
      <c r="R35" s="104">
        <f>VLOOKUP(1,$A$4:$AZ$32,18,FALSE)</f>
        <v>0</v>
      </c>
      <c r="S35" s="104">
        <f>VLOOKUP(1,$A$4:$AZ$32,19,FALSE)</f>
        <v>0</v>
      </c>
      <c r="T35" s="104">
        <f>VLOOKUP(1,$A$4:$AZ$32,20,FALSE)</f>
        <v>0</v>
      </c>
      <c r="U35" s="104">
        <f>VLOOKUP(1,$A$4:$AZ$32,21,FALSE)</f>
        <v>0</v>
      </c>
      <c r="V35" s="104">
        <f>VLOOKUP(1,$A$4:$AZ$32,22,FALSE)</f>
        <v>2</v>
      </c>
      <c r="W35" s="104">
        <f>VLOOKUP(1,$A$4:$AZ$32,23,FALSE)</f>
        <v>4</v>
      </c>
      <c r="X35" s="104">
        <f>VLOOKUP(1,$A$4:$AZ$32,24,FALSE)</f>
        <v>1</v>
      </c>
      <c r="Y35" s="104">
        <f>VLOOKUP(1,$A$4:$AZ$32,25,FALSE)</f>
        <v>5</v>
      </c>
      <c r="Z35" s="104">
        <f>VLOOKUP(1,$A$4:$AZ$32,26,FALSE)</f>
        <v>6</v>
      </c>
      <c r="AA35" s="104">
        <f>VLOOKUP(1,$A$4:$AZ$32,27,FALSE)</f>
        <v>6</v>
      </c>
      <c r="AB35" s="104">
        <f>VLOOKUP(1,$A$4:$AZ$32,28,FALSE)</f>
        <v>6</v>
      </c>
      <c r="AC35" s="104">
        <f>VLOOKUP(1,$A$4:$AZ$32,29,FALSE)</f>
        <v>7</v>
      </c>
      <c r="AD35" s="104">
        <f>VLOOKUP(1,$A$4:$AZ$32,30,FALSE)</f>
        <v>9</v>
      </c>
      <c r="AE35" s="104">
        <f>VLOOKUP(1,$A$4:$AZ$32,31,FALSE)</f>
        <v>8</v>
      </c>
      <c r="AF35" s="104">
        <f>VLOOKUP(1,$A$4:$AZ$32,32,FALSE)</f>
        <v>8</v>
      </c>
      <c r="AG35" s="104">
        <f>VLOOKUP(1,$A$4:$AZ$32,33,FALSE)</f>
        <v>8</v>
      </c>
      <c r="AH35" s="104">
        <f>VLOOKUP(1,$A$4:$AZ$32,34,FALSE)</f>
        <v>6</v>
      </c>
      <c r="AI35" s="104">
        <f>VLOOKUP(1,$A$4:$AZ$32,35,FALSE)</f>
        <v>12</v>
      </c>
    </row>
    <row r="36" spans="1:35" ht="25.5">
      <c r="A36">
        <v>2</v>
      </c>
      <c r="B36" s="78" t="s">
        <v>78</v>
      </c>
      <c r="C36" s="104">
        <f>VLOOKUP(2,$A$4:$AZ$32,3,FALSE)</f>
        <v>524</v>
      </c>
      <c r="D36" s="104">
        <f>VLOOKUP(2,$A$4:$AZ$32,4,FALSE)</f>
        <v>589</v>
      </c>
      <c r="E36" s="104">
        <f>VLOOKUP(2,$A$4:$AZ$32,5,FALSE)</f>
        <v>551</v>
      </c>
      <c r="F36" s="104">
        <f>VLOOKUP(2,$A$4:$AZ$32,6,FALSE)</f>
        <v>567</v>
      </c>
      <c r="G36" s="104">
        <f>VLOOKUP(2,$A$4:$AZ$32,7,FALSE)</f>
        <v>532</v>
      </c>
      <c r="H36" s="104">
        <f>VLOOKUP(2,$A$4:$AZ$32,8,FALSE)</f>
        <v>541</v>
      </c>
      <c r="I36" s="104">
        <f>VLOOKUP(2,$A$4:$AZ$32,9,FALSE)</f>
        <v>551</v>
      </c>
      <c r="J36" s="104">
        <f>VLOOKUP(2,$A$4:$AZ$32,10,FALSE)</f>
        <v>541</v>
      </c>
      <c r="K36" s="104">
        <f>VLOOKUP(2,$A$4:$AZ$32,11,FALSE)</f>
        <v>515</v>
      </c>
      <c r="L36" s="104">
        <f>VLOOKUP(2,$A$4:$AZ$32,12,FALSE)</f>
        <v>498</v>
      </c>
      <c r="M36" s="104">
        <f>VLOOKUP(2,$A$4:$AZ$32,13,FALSE)</f>
        <v>549</v>
      </c>
      <c r="N36" s="104">
        <f>VLOOKUP(2,$A$4:$AZ$32,14,FALSE)</f>
        <v>546</v>
      </c>
      <c r="O36" s="104">
        <f>VLOOKUP(2,$A$4:$AZ$32,15,FALSE)</f>
        <v>562</v>
      </c>
      <c r="P36" s="104">
        <f>VLOOKUP(2,$A$4:$AZ$32,16,FALSE)</f>
        <v>561</v>
      </c>
      <c r="Q36" s="104">
        <f>VLOOKUP(2,$A$4:$AZ$32,17,FALSE)</f>
        <v>570</v>
      </c>
      <c r="R36" s="104">
        <f>VLOOKUP(2,$A$4:$AZ$32,18,FALSE)</f>
        <v>611</v>
      </c>
      <c r="S36" s="104">
        <f>VLOOKUP(2,$A$4:$AZ$32,19,FALSE)</f>
        <v>595</v>
      </c>
      <c r="T36" s="104">
        <f>VLOOKUP(2,$A$4:$AZ$32,20,FALSE)</f>
        <v>571</v>
      </c>
      <c r="U36" s="104">
        <f>VLOOKUP(2,$A$4:$AZ$32,21,FALSE)</f>
        <v>633</v>
      </c>
      <c r="V36" s="104">
        <f>VLOOKUP(2,$A$4:$AZ$32,22,FALSE)</f>
        <v>652</v>
      </c>
      <c r="W36" s="104">
        <f>VLOOKUP(2,$A$4:$AZ$32,23,FALSE)</f>
        <v>629</v>
      </c>
      <c r="X36" s="104">
        <f>VLOOKUP(2,$A$4:$AZ$32,24,FALSE)</f>
        <v>612</v>
      </c>
      <c r="Y36" s="104">
        <f>VLOOKUP(2,$A$4:$AZ$32,25,FALSE)</f>
        <v>643</v>
      </c>
      <c r="Z36" s="104">
        <f>VLOOKUP(2,$A$4:$AZ$32,26,FALSE)</f>
        <v>582</v>
      </c>
      <c r="AA36" s="104">
        <f>VLOOKUP(2,$A$4:$AZ$32,27,FALSE)</f>
        <v>658</v>
      </c>
      <c r="AB36" s="104">
        <f>VLOOKUP(2,$A$4:$AZ$32,28,FALSE)</f>
        <v>644</v>
      </c>
      <c r="AC36" s="104">
        <f>VLOOKUP(2,$A$4:$AZ$32,29,FALSE)</f>
        <v>631</v>
      </c>
      <c r="AD36" s="104">
        <f>VLOOKUP(2,$A$4:$AZ$32,30,FALSE)</f>
        <v>624</v>
      </c>
      <c r="AE36" s="104">
        <f>VLOOKUP(2,$A$4:$AZ$32,31,FALSE)</f>
        <v>611</v>
      </c>
      <c r="AF36" s="104">
        <f>VLOOKUP(2,$A$4:$AZ$32,32,FALSE)</f>
        <v>630</v>
      </c>
      <c r="AG36" s="104">
        <f>VLOOKUP(2,$A$4:$AZ$32,33,FALSE)</f>
        <v>620</v>
      </c>
      <c r="AH36" s="104">
        <f>VLOOKUP(2,$A$4:$AZ$32,34,FALSE)</f>
        <v>616</v>
      </c>
      <c r="AI36" s="104">
        <f>VLOOKUP(2,$A$4:$AZ$32,35,FALSE)</f>
        <v>657</v>
      </c>
    </row>
    <row r="37" spans="1:35" ht="25.5">
      <c r="A37">
        <v>3</v>
      </c>
      <c r="B37" s="78" t="s">
        <v>79</v>
      </c>
      <c r="C37" s="104">
        <f>VLOOKUP(3,$A$4:$AZ$32,3,FALSE)</f>
        <v>50</v>
      </c>
      <c r="D37" s="104">
        <f>VLOOKUP(3,$A$4:$AZ$32,4,FALSE)</f>
        <v>66</v>
      </c>
      <c r="E37" s="104">
        <f>VLOOKUP(3,$A$4:$AZ$32,5,FALSE)</f>
        <v>69</v>
      </c>
      <c r="F37" s="104">
        <f>VLOOKUP(3,$A$4:$AZ$32,6,FALSE)</f>
        <v>64</v>
      </c>
      <c r="G37" s="104">
        <f>VLOOKUP(3,$A$4:$AZ$32,7,FALSE)</f>
        <v>77</v>
      </c>
      <c r="H37" s="104">
        <f>VLOOKUP(3,$A$4:$AZ$32,8,FALSE)</f>
        <v>70</v>
      </c>
      <c r="I37" s="104">
        <f>VLOOKUP(3,$A$4:$AZ$32,9,FALSE)</f>
        <v>76</v>
      </c>
      <c r="J37" s="104">
        <f>VLOOKUP(3,$A$4:$AZ$32,10,FALSE)</f>
        <v>82</v>
      </c>
      <c r="K37" s="104">
        <f>VLOOKUP(3,$A$4:$AZ$32,11,FALSE)</f>
        <v>78</v>
      </c>
      <c r="L37" s="104">
        <f>VLOOKUP(3,$A$4:$AZ$32,12,FALSE)</f>
        <v>76</v>
      </c>
      <c r="M37" s="104">
        <f>VLOOKUP(3,$A$4:$AZ$32,13,FALSE)</f>
        <v>87</v>
      </c>
      <c r="N37" s="104">
        <f>VLOOKUP(3,$A$4:$AZ$32,14,FALSE)</f>
        <v>86</v>
      </c>
      <c r="O37" s="104">
        <f>VLOOKUP(3,$A$4:$AZ$32,15,FALSE)</f>
        <v>93</v>
      </c>
      <c r="P37" s="104">
        <f>VLOOKUP(3,$A$4:$AZ$32,16,FALSE)</f>
        <v>90</v>
      </c>
      <c r="Q37" s="104">
        <f>VLOOKUP(3,$A$4:$AZ$32,17,FALSE)</f>
        <v>92</v>
      </c>
      <c r="R37" s="104">
        <f>VLOOKUP(3,$A$4:$AZ$32,18,FALSE)</f>
        <v>89</v>
      </c>
      <c r="S37" s="104">
        <f>VLOOKUP(3,$A$4:$AZ$32,19,FALSE)</f>
        <v>95</v>
      </c>
      <c r="T37" s="104">
        <f>VLOOKUP(3,$A$4:$AZ$32,20,FALSE)</f>
        <v>100</v>
      </c>
      <c r="U37" s="104">
        <f>VLOOKUP(3,$A$4:$AZ$32,21,FALSE)</f>
        <v>102</v>
      </c>
      <c r="V37" s="104">
        <f>VLOOKUP(3,$A$4:$AZ$32,22,FALSE)</f>
        <v>103</v>
      </c>
      <c r="W37" s="104">
        <f>VLOOKUP(3,$A$4:$AZ$32,23,FALSE)</f>
        <v>95</v>
      </c>
      <c r="X37" s="104">
        <f>VLOOKUP(3,$A$4:$AZ$32,24,FALSE)</f>
        <v>91</v>
      </c>
      <c r="Y37" s="104">
        <f>VLOOKUP(3,$A$4:$AZ$32,25,FALSE)</f>
        <v>97</v>
      </c>
      <c r="Z37" s="104">
        <f>VLOOKUP(3,$A$4:$AZ$32,26,FALSE)</f>
        <v>98</v>
      </c>
      <c r="AA37" s="104">
        <f>VLOOKUP(3,$A$4:$AZ$32,27,FALSE)</f>
        <v>101</v>
      </c>
      <c r="AB37" s="104">
        <f>VLOOKUP(3,$A$4:$AZ$32,28,FALSE)</f>
        <v>96</v>
      </c>
      <c r="AC37" s="104">
        <f>VLOOKUP(3,$A$4:$AZ$32,29,FALSE)</f>
        <v>96</v>
      </c>
      <c r="AD37" s="104">
        <f>VLOOKUP(3,$A$4:$AZ$32,30,FALSE)</f>
        <v>95</v>
      </c>
      <c r="AE37" s="104">
        <f>VLOOKUP(3,$A$4:$AZ$32,31,FALSE)</f>
        <v>98</v>
      </c>
      <c r="AF37" s="104">
        <f>VLOOKUP(3,$A$4:$AZ$32,32,FALSE)</f>
        <v>104</v>
      </c>
      <c r="AG37" s="104">
        <f>VLOOKUP(3,$A$4:$AZ$32,33,FALSE)</f>
        <v>93</v>
      </c>
      <c r="AH37" s="104">
        <f>VLOOKUP(3,$A$4:$AZ$32,34,FALSE)</f>
        <v>103</v>
      </c>
      <c r="AI37" s="104">
        <f>VLOOKUP(3,$A$4:$AZ$32,35,FALSE)</f>
        <v>109</v>
      </c>
    </row>
    <row r="38" spans="1:35" ht="25.5">
      <c r="A38">
        <v>4</v>
      </c>
      <c r="B38" s="78" t="s">
        <v>80</v>
      </c>
      <c r="C38" s="104">
        <f>VLOOKUP(4,$A$4:$AZ$32,3,FALSE)</f>
        <v>0</v>
      </c>
      <c r="D38" s="104">
        <f>VLOOKUP(4,$A$4:$AZ$32,4,FALSE)</f>
        <v>0</v>
      </c>
      <c r="E38" s="104">
        <f>VLOOKUP(4,$A$4:$AZ$32,5,FALSE)</f>
        <v>0</v>
      </c>
      <c r="F38" s="104">
        <f>VLOOKUP(4,$A$4:$AZ$32,6,FALSE)</f>
        <v>0</v>
      </c>
      <c r="G38" s="104">
        <f>VLOOKUP(4,$A$4:$AZ$32,7,FALSE)</f>
        <v>0</v>
      </c>
      <c r="H38" s="104">
        <f>VLOOKUP(4,$A$4:$AZ$32,8,FALSE)</f>
        <v>0</v>
      </c>
      <c r="I38" s="104">
        <f>VLOOKUP(4,$A$4:$AZ$32,9,FALSE)</f>
        <v>0</v>
      </c>
      <c r="J38" s="104">
        <f>VLOOKUP(4,$A$4:$AZ$32,10,FALSE)</f>
        <v>0</v>
      </c>
      <c r="K38" s="104">
        <f>VLOOKUP(4,$A$4:$AZ$32,11,FALSE)</f>
        <v>0</v>
      </c>
      <c r="L38" s="104">
        <f>VLOOKUP(4,$A$4:$AZ$32,12,FALSE)</f>
        <v>0</v>
      </c>
      <c r="M38" s="104">
        <f>VLOOKUP(4,$A$4:$AZ$32,13,FALSE)</f>
        <v>0</v>
      </c>
      <c r="N38" s="104">
        <f>VLOOKUP(4,$A$4:$AZ$32,14,FALSE)</f>
        <v>0</v>
      </c>
      <c r="O38" s="104">
        <f>VLOOKUP(4,$A$4:$AZ$32,15,FALSE)</f>
        <v>0</v>
      </c>
      <c r="P38" s="104">
        <f>VLOOKUP(4,$A$4:$AZ$32,16,FALSE)</f>
        <v>0</v>
      </c>
      <c r="Q38" s="104">
        <f>VLOOKUP(4,$A$4:$AZ$32,17,FALSE)</f>
        <v>0</v>
      </c>
      <c r="R38" s="104">
        <f>VLOOKUP(4,$A$4:$AZ$32,18,FALSE)</f>
        <v>0</v>
      </c>
      <c r="S38" s="104">
        <f>VLOOKUP(4,$A$4:$AZ$32,19,FALSE)</f>
        <v>0</v>
      </c>
      <c r="T38" s="104">
        <f>VLOOKUP(4,$A$4:$AZ$32,20,FALSE)</f>
        <v>0</v>
      </c>
      <c r="U38" s="104">
        <f>VLOOKUP(4,$A$4:$AZ$32,21,FALSE)</f>
        <v>0</v>
      </c>
      <c r="V38" s="104">
        <f>VLOOKUP(4,$A$4:$AZ$32,22,FALSE)</f>
        <v>0</v>
      </c>
      <c r="W38" s="104">
        <f>VLOOKUP(4,$A$4:$AZ$32,23,FALSE)</f>
        <v>0</v>
      </c>
      <c r="X38" s="104">
        <f>VLOOKUP(4,$A$4:$AZ$32,24,FALSE)</f>
        <v>0</v>
      </c>
      <c r="Y38" s="104">
        <f>VLOOKUP(4,$A$4:$AZ$32,25,FALSE)</f>
        <v>0</v>
      </c>
      <c r="Z38" s="104">
        <f>VLOOKUP(4,$A$4:$AZ$32,26,FALSE)</f>
        <v>0</v>
      </c>
      <c r="AA38" s="104">
        <f>VLOOKUP(4,$A$4:$AZ$32,27,FALSE)</f>
        <v>0</v>
      </c>
      <c r="AB38" s="104">
        <f>VLOOKUP(4,$A$4:$AZ$32,28,FALSE)</f>
        <v>0</v>
      </c>
      <c r="AC38" s="104">
        <f>VLOOKUP(4,$A$4:$AZ$32,29,FALSE)</f>
        <v>0</v>
      </c>
      <c r="AD38" s="104">
        <f>VLOOKUP(4,$A$4:$AZ$32,30,FALSE)</f>
        <v>0</v>
      </c>
      <c r="AE38" s="104">
        <f>VLOOKUP(4,$A$4:$AZ$32,31,FALSE)</f>
        <v>0</v>
      </c>
      <c r="AF38" s="104">
        <f>VLOOKUP(4,$A$4:$AZ$32,32,FALSE)</f>
        <v>1</v>
      </c>
      <c r="AG38" s="104">
        <f>VLOOKUP(4,$A$4:$AZ$32,33,FALSE)</f>
        <v>0</v>
      </c>
      <c r="AH38" s="104">
        <f>VLOOKUP(4,$A$4:$AZ$32,34,FALSE)</f>
        <v>0</v>
      </c>
      <c r="AI38" s="104">
        <f>VLOOKUP(4,$A$4:$AZ$32,35,FALSE)</f>
        <v>1</v>
      </c>
    </row>
    <row r="39" spans="1:35" ht="25.5">
      <c r="A39">
        <v>5</v>
      </c>
      <c r="B39" s="78" t="s">
        <v>81</v>
      </c>
      <c r="C39" s="104">
        <f>VLOOKUP(5,$A$4:$AZ$32,3,FALSE)</f>
        <v>885</v>
      </c>
      <c r="D39" s="104">
        <f>VLOOKUP(5,$A$4:$AZ$32,4,FALSE)</f>
        <v>980</v>
      </c>
      <c r="E39" s="104">
        <f>VLOOKUP(5,$A$4:$AZ$32,5,FALSE)</f>
        <v>960</v>
      </c>
      <c r="F39" s="104">
        <f>VLOOKUP(5,$A$4:$AZ$32,6,FALSE)</f>
        <v>962</v>
      </c>
      <c r="G39" s="104">
        <f>VLOOKUP(5,$A$4:$AZ$32,7,FALSE)</f>
        <v>927</v>
      </c>
      <c r="H39" s="104">
        <f>VLOOKUP(5,$A$4:$AZ$32,8,FALSE)</f>
        <v>948</v>
      </c>
      <c r="I39" s="104">
        <f>VLOOKUP(5,$A$4:$AZ$32,9,FALSE)</f>
        <v>981</v>
      </c>
      <c r="J39" s="104">
        <f>VLOOKUP(5,$A$4:$AZ$32,10,FALSE)</f>
        <v>995</v>
      </c>
      <c r="K39" s="104">
        <f>VLOOKUP(5,$A$4:$AZ$32,11,FALSE)</f>
        <v>994</v>
      </c>
      <c r="L39" s="104">
        <f>VLOOKUP(5,$A$4:$AZ$32,12,FALSE)</f>
        <v>886</v>
      </c>
      <c r="M39" s="104">
        <f>VLOOKUP(5,$A$4:$AZ$32,13,FALSE)</f>
        <v>1017</v>
      </c>
      <c r="N39" s="104">
        <f>VLOOKUP(5,$A$4:$AZ$32,14,FALSE)</f>
        <v>949</v>
      </c>
      <c r="O39" s="104">
        <f>VLOOKUP(5,$A$4:$AZ$32,15,FALSE)</f>
        <v>960</v>
      </c>
      <c r="P39" s="104">
        <f>VLOOKUP(5,$A$4:$AZ$32,16,FALSE)</f>
        <v>946</v>
      </c>
      <c r="Q39" s="104">
        <f>VLOOKUP(5,$A$4:$AZ$32,17,FALSE)</f>
        <v>905</v>
      </c>
      <c r="R39" s="104">
        <f>VLOOKUP(5,$A$4:$AZ$32,18,FALSE)</f>
        <v>895</v>
      </c>
      <c r="S39" s="104">
        <f>VLOOKUP(5,$A$4:$AZ$32,19,FALSE)</f>
        <v>883</v>
      </c>
      <c r="T39" s="104">
        <f>VLOOKUP(5,$A$4:$AZ$32,20,FALSE)</f>
        <v>861</v>
      </c>
      <c r="U39" s="104">
        <f>VLOOKUP(5,$A$4:$AZ$32,21,FALSE)</f>
        <v>882</v>
      </c>
      <c r="V39" s="104">
        <f>VLOOKUP(5,$A$4:$AZ$32,22,FALSE)</f>
        <v>897</v>
      </c>
      <c r="W39" s="104">
        <f>VLOOKUP(5,$A$4:$AZ$32,23,FALSE)</f>
        <v>878</v>
      </c>
      <c r="X39" s="104">
        <f>VLOOKUP(5,$A$4:$AZ$32,24,FALSE)</f>
        <v>852</v>
      </c>
      <c r="Y39" s="104">
        <f>VLOOKUP(5,$A$4:$AZ$32,25,FALSE)</f>
        <v>880</v>
      </c>
      <c r="Z39" s="104">
        <f>VLOOKUP(5,$A$4:$AZ$32,26,FALSE)</f>
        <v>802</v>
      </c>
      <c r="AA39" s="104">
        <f>VLOOKUP(5,$A$4:$AZ$32,27,FALSE)</f>
        <v>856</v>
      </c>
      <c r="AB39" s="104">
        <f>VLOOKUP(5,$A$4:$AZ$32,28,FALSE)</f>
        <v>812</v>
      </c>
      <c r="AC39" s="104">
        <f>VLOOKUP(5,$A$4:$AZ$32,29,FALSE)</f>
        <v>756</v>
      </c>
      <c r="AD39" s="104">
        <f>VLOOKUP(5,$A$4:$AZ$32,30,FALSE)</f>
        <v>838</v>
      </c>
      <c r="AE39" s="104">
        <f>VLOOKUP(5,$A$4:$AZ$32,31,FALSE)</f>
        <v>781</v>
      </c>
      <c r="AF39" s="104">
        <f>VLOOKUP(5,$A$4:$AZ$32,32,FALSE)</f>
        <v>844</v>
      </c>
      <c r="AG39" s="104">
        <f>VLOOKUP(5,$A$4:$AZ$32,33,FALSE)</f>
        <v>822</v>
      </c>
      <c r="AH39" s="104">
        <f>VLOOKUP(5,$A$4:$AZ$32,34,FALSE)</f>
        <v>779</v>
      </c>
      <c r="AI39" s="104">
        <f>VLOOKUP(5,$A$4:$AZ$32,35,FALSE)</f>
        <v>887</v>
      </c>
    </row>
    <row r="40" spans="1:35" ht="25.5">
      <c r="A40">
        <v>6</v>
      </c>
      <c r="B40" s="78" t="s">
        <v>82</v>
      </c>
      <c r="C40" s="104">
        <f>VLOOKUP(6,$A$4:$AZ$32,3,FALSE)</f>
        <v>292</v>
      </c>
      <c r="D40" s="104">
        <f>VLOOKUP(6,$A$4:$AZ$32,4,FALSE)</f>
        <v>334</v>
      </c>
      <c r="E40" s="104">
        <f>VLOOKUP(6,$A$4:$AZ$32,5,FALSE)</f>
        <v>363</v>
      </c>
      <c r="F40" s="104">
        <f>VLOOKUP(6,$A$4:$AZ$32,6,FALSE)</f>
        <v>339</v>
      </c>
      <c r="G40" s="104">
        <f>VLOOKUP(6,$A$4:$AZ$32,7,FALSE)</f>
        <v>339</v>
      </c>
      <c r="H40" s="104">
        <f>VLOOKUP(6,$A$4:$AZ$32,8,FALSE)</f>
        <v>355</v>
      </c>
      <c r="I40" s="104">
        <f>VLOOKUP(6,$A$4:$AZ$32,9,FALSE)</f>
        <v>388</v>
      </c>
      <c r="J40" s="104">
        <f>VLOOKUP(6,$A$4:$AZ$32,10,FALSE)</f>
        <v>375</v>
      </c>
      <c r="K40" s="104">
        <f>VLOOKUP(6,$A$4:$AZ$32,11,FALSE)</f>
        <v>345</v>
      </c>
      <c r="L40" s="104">
        <f>VLOOKUP(6,$A$4:$AZ$32,12,FALSE)</f>
        <v>321</v>
      </c>
      <c r="M40" s="104">
        <f>VLOOKUP(6,$A$4:$AZ$32,13,FALSE)</f>
        <v>371</v>
      </c>
      <c r="N40" s="104">
        <f>VLOOKUP(6,$A$4:$AZ$32,14,FALSE)</f>
        <v>370</v>
      </c>
      <c r="O40" s="104">
        <f>VLOOKUP(6,$A$4:$AZ$32,15,FALSE)</f>
        <v>387</v>
      </c>
      <c r="P40" s="104">
        <f>VLOOKUP(6,$A$4:$AZ$32,16,FALSE)</f>
        <v>393</v>
      </c>
      <c r="Q40" s="104">
        <f>VLOOKUP(6,$A$4:$AZ$32,17,FALSE)</f>
        <v>361</v>
      </c>
      <c r="R40" s="104">
        <f>VLOOKUP(6,$A$4:$AZ$32,18,FALSE)</f>
        <v>383</v>
      </c>
      <c r="S40" s="104">
        <f>VLOOKUP(6,$A$4:$AZ$32,19,FALSE)</f>
        <v>352</v>
      </c>
      <c r="T40" s="104">
        <f>VLOOKUP(6,$A$4:$AZ$32,20,FALSE)</f>
        <v>352</v>
      </c>
      <c r="U40" s="104">
        <f>VLOOKUP(6,$A$4:$AZ$32,21,FALSE)</f>
        <v>370</v>
      </c>
      <c r="V40" s="104">
        <f>VLOOKUP(6,$A$4:$AZ$32,22,FALSE)</f>
        <v>368</v>
      </c>
      <c r="W40" s="104">
        <f>VLOOKUP(6,$A$4:$AZ$32,23,FALSE)</f>
        <v>351</v>
      </c>
      <c r="X40" s="104">
        <f>VLOOKUP(6,$A$4:$AZ$32,24,FALSE)</f>
        <v>341</v>
      </c>
      <c r="Y40" s="104">
        <f>VLOOKUP(6,$A$4:$AZ$32,25,FALSE)</f>
        <v>357</v>
      </c>
      <c r="Z40" s="104">
        <f>VLOOKUP(6,$A$4:$AZ$32,26,FALSE)</f>
        <v>308</v>
      </c>
      <c r="AA40" s="104">
        <f>VLOOKUP(6,$A$4:$AZ$32,27,FALSE)</f>
        <v>360</v>
      </c>
      <c r="AB40" s="104">
        <f>VLOOKUP(6,$A$4:$AZ$32,28,FALSE)</f>
        <v>339</v>
      </c>
      <c r="AC40" s="104">
        <f>VLOOKUP(6,$A$4:$AZ$32,29,FALSE)</f>
        <v>355</v>
      </c>
      <c r="AD40" s="104">
        <f>VLOOKUP(6,$A$4:$AZ$32,30,FALSE)</f>
        <v>343</v>
      </c>
      <c r="AE40" s="104">
        <f>VLOOKUP(6,$A$4:$AZ$32,31,FALSE)</f>
        <v>337</v>
      </c>
      <c r="AF40" s="104">
        <f>VLOOKUP(6,$A$4:$AZ$32,32,FALSE)</f>
        <v>353</v>
      </c>
      <c r="AG40" s="104">
        <f>VLOOKUP(6,$A$4:$AZ$32,33,FALSE)</f>
        <v>337</v>
      </c>
      <c r="AH40" s="104">
        <f>VLOOKUP(6,$A$4:$AZ$32,34,FALSE)</f>
        <v>328</v>
      </c>
      <c r="AI40" s="104">
        <f>VLOOKUP(6,$A$4:$AZ$32,35,FALSE)</f>
        <v>367</v>
      </c>
    </row>
    <row r="41" spans="1:35" ht="12.75">
      <c r="A41">
        <v>7</v>
      </c>
      <c r="B41" s="78" t="s">
        <v>83</v>
      </c>
      <c r="C41" s="104">
        <f>VLOOKUP(7,$A$4:$AZ$32,3,FALSE)</f>
        <v>0</v>
      </c>
      <c r="D41" s="104">
        <f>VLOOKUP(7,$A$4:$AZ$32,4,FALSE)</f>
        <v>0</v>
      </c>
      <c r="E41" s="104">
        <f>VLOOKUP(7,$A$4:$AZ$32,5,FALSE)</f>
        <v>0</v>
      </c>
      <c r="F41" s="104">
        <f>VLOOKUP(7,$A$4:$AZ$32,6,FALSE)</f>
        <v>0</v>
      </c>
      <c r="G41" s="104">
        <f>VLOOKUP(7,$A$4:$AZ$32,7,FALSE)</f>
        <v>0</v>
      </c>
      <c r="H41" s="104">
        <f>VLOOKUP(7,$A$4:$AZ$32,8,FALSE)</f>
        <v>0</v>
      </c>
      <c r="I41" s="104">
        <f>VLOOKUP(7,$A$4:$AZ$32,9,FALSE)</f>
        <v>0</v>
      </c>
      <c r="J41" s="104">
        <f>VLOOKUP(7,$A$4:$AZ$32,10,FALSE)</f>
        <v>0</v>
      </c>
      <c r="K41" s="104">
        <f>VLOOKUP(7,$A$4:$AZ$32,11,FALSE)</f>
        <v>0</v>
      </c>
      <c r="L41" s="104">
        <f>VLOOKUP(7,$A$4:$AZ$32,12,FALSE)</f>
        <v>0</v>
      </c>
      <c r="M41" s="104">
        <f>VLOOKUP(7,$A$4:$AZ$32,13,FALSE)</f>
        <v>0</v>
      </c>
      <c r="N41" s="104">
        <f>VLOOKUP(7,$A$4:$AZ$32,14,FALSE)</f>
        <v>0</v>
      </c>
      <c r="O41" s="104">
        <f>VLOOKUP(7,$A$4:$AZ$32,15,FALSE)</f>
        <v>0</v>
      </c>
      <c r="P41" s="104">
        <f>VLOOKUP(7,$A$4:$AZ$32,16,FALSE)</f>
        <v>0</v>
      </c>
      <c r="Q41" s="104">
        <f>VLOOKUP(7,$A$4:$AZ$32,17,FALSE)</f>
        <v>0</v>
      </c>
      <c r="R41" s="104">
        <f>VLOOKUP(7,$A$4:$AZ$32,18,FALSE)</f>
        <v>0</v>
      </c>
      <c r="S41" s="104">
        <f>VLOOKUP(7,$A$4:$AZ$32,19,FALSE)</f>
        <v>0</v>
      </c>
      <c r="T41" s="104">
        <f>VLOOKUP(7,$A$4:$AZ$32,20,FALSE)</f>
        <v>0</v>
      </c>
      <c r="U41" s="104">
        <f>VLOOKUP(7,$A$4:$AZ$32,21,FALSE)</f>
        <v>0</v>
      </c>
      <c r="V41" s="104">
        <f>VLOOKUP(7,$A$4:$AZ$32,22,FALSE)</f>
        <v>0</v>
      </c>
      <c r="W41" s="104">
        <f>VLOOKUP(7,$A$4:$AZ$32,23,FALSE)</f>
        <v>0</v>
      </c>
      <c r="X41" s="104">
        <f>VLOOKUP(7,$A$4:$AZ$32,24,FALSE)</f>
        <v>0</v>
      </c>
      <c r="Y41" s="104">
        <f>VLOOKUP(7,$A$4:$AZ$32,25,FALSE)</f>
        <v>0</v>
      </c>
      <c r="Z41" s="104">
        <f>VLOOKUP(7,$A$4:$AZ$32,26,FALSE)</f>
        <v>0</v>
      </c>
      <c r="AA41" s="104">
        <f>VLOOKUP(7,$A$4:$AZ$32,27,FALSE)</f>
        <v>0</v>
      </c>
      <c r="AB41" s="104">
        <f>VLOOKUP(7,$A$4:$AZ$32,28,FALSE)</f>
        <v>5</v>
      </c>
      <c r="AC41" s="104">
        <f>VLOOKUP(7,$A$4:$AZ$32,29,FALSE)</f>
        <v>7</v>
      </c>
      <c r="AD41" s="104">
        <f>VLOOKUP(7,$A$4:$AZ$32,30,FALSE)</f>
        <v>12</v>
      </c>
      <c r="AE41" s="104">
        <f>VLOOKUP(7,$A$4:$AZ$32,31,FALSE)</f>
        <v>12</v>
      </c>
      <c r="AF41" s="104">
        <f>VLOOKUP(7,$A$4:$AZ$32,32,FALSE)</f>
        <v>25</v>
      </c>
      <c r="AG41" s="104">
        <f>VLOOKUP(7,$A$4:$AZ$32,33,FALSE)</f>
        <v>24</v>
      </c>
      <c r="AH41" s="104">
        <f>VLOOKUP(7,$A$4:$AZ$32,34,FALSE)</f>
        <v>34</v>
      </c>
      <c r="AI41" s="104">
        <f>VLOOKUP(7,$A$4:$AZ$32,35,FALSE)</f>
        <v>40</v>
      </c>
    </row>
    <row r="42" spans="1:35" ht="25.5">
      <c r="A42">
        <v>8</v>
      </c>
      <c r="B42" s="78" t="s">
        <v>84</v>
      </c>
      <c r="C42" s="104">
        <f>VLOOKUP(8,$A$4:$AZ$32,3,FALSE)</f>
        <v>46</v>
      </c>
      <c r="D42" s="104">
        <f>VLOOKUP(8,$A$4:$AZ$32,4,FALSE)</f>
        <v>49</v>
      </c>
      <c r="E42" s="104">
        <f>VLOOKUP(8,$A$4:$AZ$32,5,FALSE)</f>
        <v>43</v>
      </c>
      <c r="F42" s="104">
        <f>VLOOKUP(8,$A$4:$AZ$32,6,FALSE)</f>
        <v>52</v>
      </c>
      <c r="G42" s="104">
        <f>VLOOKUP(8,$A$4:$AZ$32,7,FALSE)</f>
        <v>42</v>
      </c>
      <c r="H42" s="104">
        <f>VLOOKUP(8,$A$4:$AZ$32,8,FALSE)</f>
        <v>48</v>
      </c>
      <c r="I42" s="104">
        <f>VLOOKUP(8,$A$4:$AZ$32,9,FALSE)</f>
        <v>44</v>
      </c>
      <c r="J42" s="104">
        <f>VLOOKUP(8,$A$4:$AZ$32,10,FALSE)</f>
        <v>48</v>
      </c>
      <c r="K42" s="104">
        <f>VLOOKUP(8,$A$4:$AZ$32,11,FALSE)</f>
        <v>46</v>
      </c>
      <c r="L42" s="104">
        <f>VLOOKUP(8,$A$4:$AZ$32,12,FALSE)</f>
        <v>54</v>
      </c>
      <c r="M42" s="104">
        <f>VLOOKUP(8,$A$4:$AZ$32,13,FALSE)</f>
        <v>45</v>
      </c>
      <c r="N42" s="104">
        <f>VLOOKUP(8,$A$4:$AZ$32,14,FALSE)</f>
        <v>46</v>
      </c>
      <c r="O42" s="104">
        <f>VLOOKUP(8,$A$4:$AZ$32,15,FALSE)</f>
        <v>55</v>
      </c>
      <c r="P42" s="104">
        <f>VLOOKUP(8,$A$4:$AZ$32,16,FALSE)</f>
        <v>57</v>
      </c>
      <c r="Q42" s="104">
        <f>VLOOKUP(8,$A$4:$AZ$32,17,FALSE)</f>
        <v>39</v>
      </c>
      <c r="R42" s="104">
        <f>VLOOKUP(8,$A$4:$AZ$32,18,FALSE)</f>
        <v>58</v>
      </c>
      <c r="S42" s="104">
        <f>VLOOKUP(8,$A$4:$AZ$32,19,FALSE)</f>
        <v>53</v>
      </c>
      <c r="T42" s="104">
        <f>VLOOKUP(8,$A$4:$AZ$32,20,FALSE)</f>
        <v>52</v>
      </c>
      <c r="U42" s="104">
        <f>VLOOKUP(8,$A$4:$AZ$32,21,FALSE)</f>
        <v>51</v>
      </c>
      <c r="V42" s="104">
        <f>VLOOKUP(8,$A$4:$AZ$32,22,FALSE)</f>
        <v>62</v>
      </c>
      <c r="W42" s="104">
        <f>VLOOKUP(8,$A$4:$AZ$32,23,FALSE)</f>
        <v>65</v>
      </c>
      <c r="X42" s="104">
        <f>VLOOKUP(8,$A$4:$AZ$32,24,FALSE)</f>
        <v>61</v>
      </c>
      <c r="Y42" s="104">
        <f>VLOOKUP(8,$A$4:$AZ$32,25,FALSE)</f>
        <v>63</v>
      </c>
      <c r="Z42" s="104">
        <f>VLOOKUP(8,$A$4:$AZ$32,26,FALSE)</f>
        <v>49</v>
      </c>
      <c r="AA42" s="104">
        <f>VLOOKUP(8,$A$4:$AZ$32,27,FALSE)</f>
        <v>65</v>
      </c>
      <c r="AB42" s="104">
        <f>VLOOKUP(8,$A$4:$AZ$32,28,FALSE)</f>
        <v>54</v>
      </c>
      <c r="AC42" s="104">
        <f>VLOOKUP(8,$A$4:$AZ$32,29,FALSE)</f>
        <v>52</v>
      </c>
      <c r="AD42" s="104">
        <f>VLOOKUP(8,$A$4:$AZ$32,30,FALSE)</f>
        <v>57</v>
      </c>
      <c r="AE42" s="104">
        <f>VLOOKUP(8,$A$4:$AZ$32,31,FALSE)</f>
        <v>59</v>
      </c>
      <c r="AF42" s="104">
        <f>VLOOKUP(8,$A$4:$AZ$32,32,FALSE)</f>
        <v>61</v>
      </c>
      <c r="AG42" s="104">
        <f>VLOOKUP(8,$A$4:$AZ$32,33,FALSE)</f>
        <v>56</v>
      </c>
      <c r="AH42" s="104">
        <f>VLOOKUP(8,$A$4:$AZ$32,34,FALSE)</f>
        <v>49</v>
      </c>
      <c r="AI42" s="104">
        <f>VLOOKUP(8,$A$4:$AZ$32,35,FALSE)</f>
        <v>49</v>
      </c>
    </row>
    <row r="43" spans="1:35" ht="25.5">
      <c r="A43">
        <v>9</v>
      </c>
      <c r="B43" s="78" t="s">
        <v>85</v>
      </c>
      <c r="C43" s="104">
        <f>VLOOKUP(9,$A$4:$AZ$32,3,FALSE)</f>
        <v>109</v>
      </c>
      <c r="D43" s="104">
        <f>VLOOKUP(9,$A$4:$AZ$32,4,FALSE)</f>
        <v>118</v>
      </c>
      <c r="E43" s="104">
        <f>VLOOKUP(9,$A$4:$AZ$32,5,FALSE)</f>
        <v>123</v>
      </c>
      <c r="F43" s="104">
        <f>VLOOKUP(9,$A$4:$AZ$32,6,FALSE)</f>
        <v>106</v>
      </c>
      <c r="G43" s="104">
        <f>VLOOKUP(9,$A$4:$AZ$32,7,FALSE)</f>
        <v>103</v>
      </c>
      <c r="H43" s="104">
        <f>VLOOKUP(9,$A$4:$AZ$32,8,FALSE)</f>
        <v>110</v>
      </c>
      <c r="I43" s="104">
        <f>VLOOKUP(9,$A$4:$AZ$32,9,FALSE)</f>
        <v>108</v>
      </c>
      <c r="J43" s="104">
        <f>VLOOKUP(9,$A$4:$AZ$32,10,FALSE)</f>
        <v>104</v>
      </c>
      <c r="K43" s="104">
        <f>VLOOKUP(9,$A$4:$AZ$32,11,FALSE)</f>
        <v>112</v>
      </c>
      <c r="L43" s="104">
        <f>VLOOKUP(9,$A$4:$AZ$32,12,FALSE)</f>
        <v>108</v>
      </c>
      <c r="M43" s="104">
        <f>VLOOKUP(9,$A$4:$AZ$32,13,FALSE)</f>
        <v>108</v>
      </c>
      <c r="N43" s="104">
        <f>VLOOKUP(9,$A$4:$AZ$32,14,FALSE)</f>
        <v>131</v>
      </c>
      <c r="O43" s="104">
        <f>VLOOKUP(9,$A$4:$AZ$32,15,FALSE)</f>
        <v>106</v>
      </c>
      <c r="P43" s="104">
        <f>VLOOKUP(9,$A$4:$AZ$32,16,FALSE)</f>
        <v>110</v>
      </c>
      <c r="Q43" s="104">
        <f>VLOOKUP(9,$A$4:$AZ$32,17,FALSE)</f>
        <v>113</v>
      </c>
      <c r="R43" s="104">
        <f>VLOOKUP(9,$A$4:$AZ$32,18,FALSE)</f>
        <v>114</v>
      </c>
      <c r="S43" s="104">
        <f>VLOOKUP(9,$A$4:$AZ$32,19,FALSE)</f>
        <v>97</v>
      </c>
      <c r="T43" s="104">
        <f>VLOOKUP(9,$A$4:$AZ$32,20,FALSE)</f>
        <v>104</v>
      </c>
      <c r="U43" s="104">
        <f>VLOOKUP(9,$A$4:$AZ$32,21,FALSE)</f>
        <v>114</v>
      </c>
      <c r="V43" s="104">
        <f>VLOOKUP(9,$A$4:$AZ$32,22,FALSE)</f>
        <v>106</v>
      </c>
      <c r="W43" s="104">
        <f>VLOOKUP(9,$A$4:$AZ$32,23,FALSE)</f>
        <v>110</v>
      </c>
      <c r="X43" s="104">
        <f>VLOOKUP(9,$A$4:$AZ$32,24,FALSE)</f>
        <v>84</v>
      </c>
      <c r="Y43" s="104">
        <f>VLOOKUP(9,$A$4:$AZ$32,25,FALSE)</f>
        <v>104</v>
      </c>
      <c r="Z43" s="104">
        <f>VLOOKUP(9,$A$4:$AZ$32,26,FALSE)</f>
        <v>94</v>
      </c>
      <c r="AA43" s="104">
        <f>VLOOKUP(9,$A$4:$AZ$32,27,FALSE)</f>
        <v>99</v>
      </c>
      <c r="AB43" s="104">
        <f>VLOOKUP(9,$A$4:$AZ$32,28,FALSE)</f>
        <v>97</v>
      </c>
      <c r="AC43" s="104">
        <f>VLOOKUP(9,$A$4:$AZ$32,29,FALSE)</f>
        <v>96</v>
      </c>
      <c r="AD43" s="104">
        <f>VLOOKUP(9,$A$4:$AZ$32,30,FALSE)</f>
        <v>92</v>
      </c>
      <c r="AE43" s="104">
        <f>VLOOKUP(9,$A$4:$AZ$32,31,FALSE)</f>
        <v>97</v>
      </c>
      <c r="AF43" s="104">
        <f>VLOOKUP(9,$A$4:$AZ$32,32,FALSE)</f>
        <v>107</v>
      </c>
      <c r="AG43" s="104">
        <f>VLOOKUP(9,$A$4:$AZ$32,33,FALSE)</f>
        <v>98</v>
      </c>
      <c r="AH43" s="104">
        <f>VLOOKUP(9,$A$4:$AZ$32,34,FALSE)</f>
        <v>91</v>
      </c>
      <c r="AI43" s="104">
        <f>VLOOKUP(9,$A$4:$AZ$32,35,FALSE)</f>
        <v>95</v>
      </c>
    </row>
    <row r="44" spans="1:35" ht="25.5">
      <c r="A44">
        <v>10</v>
      </c>
      <c r="B44" s="78" t="s">
        <v>86</v>
      </c>
      <c r="C44" s="104">
        <f>VLOOKUP(10,$A$4:$AZ$32,3,FALSE)</f>
        <v>60</v>
      </c>
      <c r="D44" s="104">
        <f>VLOOKUP(10,$A$4:$AZ$32,4,FALSE)</f>
        <v>69</v>
      </c>
      <c r="E44" s="104">
        <f>VLOOKUP(10,$A$4:$AZ$32,5,FALSE)</f>
        <v>65</v>
      </c>
      <c r="F44" s="104">
        <f>VLOOKUP(10,$A$4:$AZ$32,6,FALSE)</f>
        <v>63</v>
      </c>
      <c r="G44" s="104">
        <f>VLOOKUP(10,$A$4:$AZ$32,7,FALSE)</f>
        <v>65</v>
      </c>
      <c r="H44" s="104">
        <f>VLOOKUP(10,$A$4:$AZ$32,8,FALSE)</f>
        <v>65</v>
      </c>
      <c r="I44" s="104">
        <f>VLOOKUP(10,$A$4:$AZ$32,9,FALSE)</f>
        <v>62</v>
      </c>
      <c r="J44" s="104">
        <f>VLOOKUP(10,$A$4:$AZ$32,10,FALSE)</f>
        <v>71</v>
      </c>
      <c r="K44" s="104">
        <f>VLOOKUP(10,$A$4:$AZ$32,11,FALSE)</f>
        <v>69</v>
      </c>
      <c r="L44" s="104">
        <f>VLOOKUP(10,$A$4:$AZ$32,12,FALSE)</f>
        <v>73</v>
      </c>
      <c r="M44" s="104">
        <f>VLOOKUP(10,$A$4:$AZ$32,13,FALSE)</f>
        <v>72</v>
      </c>
      <c r="N44" s="104">
        <f>VLOOKUP(10,$A$4:$AZ$32,14,FALSE)</f>
        <v>73</v>
      </c>
      <c r="O44" s="104">
        <f>VLOOKUP(10,$A$4:$AZ$32,15,FALSE)</f>
        <v>71</v>
      </c>
      <c r="P44" s="104">
        <f>VLOOKUP(10,$A$4:$AZ$32,16,FALSE)</f>
        <v>72</v>
      </c>
      <c r="Q44" s="104">
        <f>VLOOKUP(10,$A$4:$AZ$32,17,FALSE)</f>
        <v>65</v>
      </c>
      <c r="R44" s="104">
        <f>VLOOKUP(10,$A$4:$AZ$32,18,FALSE)</f>
        <v>65</v>
      </c>
      <c r="S44" s="104">
        <f>VLOOKUP(10,$A$4:$AZ$32,19,FALSE)</f>
        <v>69</v>
      </c>
      <c r="T44" s="104">
        <f>VLOOKUP(10,$A$4:$AZ$32,20,FALSE)</f>
        <v>69</v>
      </c>
      <c r="U44" s="104">
        <f>VLOOKUP(10,$A$4:$AZ$32,21,FALSE)</f>
        <v>65</v>
      </c>
      <c r="V44" s="104">
        <f>VLOOKUP(10,$A$4:$AZ$32,22,FALSE)</f>
        <v>67</v>
      </c>
      <c r="W44" s="104">
        <f>VLOOKUP(10,$A$4:$AZ$32,23,FALSE)</f>
        <v>71</v>
      </c>
      <c r="X44" s="104">
        <f>VLOOKUP(10,$A$4:$AZ$32,24,FALSE)</f>
        <v>65</v>
      </c>
      <c r="Y44" s="104">
        <f>VLOOKUP(10,$A$4:$AZ$32,25,FALSE)</f>
        <v>67</v>
      </c>
      <c r="Z44" s="104">
        <f>VLOOKUP(10,$A$4:$AZ$32,26,FALSE)</f>
        <v>53</v>
      </c>
      <c r="AA44" s="104">
        <f>VLOOKUP(10,$A$4:$AZ$32,27,FALSE)</f>
        <v>66</v>
      </c>
      <c r="AB44" s="104">
        <f>VLOOKUP(10,$A$4:$AZ$32,28,FALSE)</f>
        <v>67</v>
      </c>
      <c r="AC44" s="104">
        <f>VLOOKUP(10,$A$4:$AZ$32,29,FALSE)</f>
        <v>60</v>
      </c>
      <c r="AD44" s="104">
        <f>VLOOKUP(10,$A$4:$AZ$32,30,FALSE)</f>
        <v>70</v>
      </c>
      <c r="AE44" s="104">
        <f>VLOOKUP(10,$A$4:$AZ$32,31,FALSE)</f>
        <v>64</v>
      </c>
      <c r="AF44" s="104">
        <f>VLOOKUP(10,$A$4:$AZ$32,32,FALSE)</f>
        <v>58</v>
      </c>
      <c r="AG44" s="104">
        <f>VLOOKUP(10,$A$4:$AZ$32,33,FALSE)</f>
        <v>63</v>
      </c>
      <c r="AH44" s="104">
        <f>VLOOKUP(10,$A$4:$AZ$32,34,FALSE)</f>
        <v>58</v>
      </c>
      <c r="AI44" s="104">
        <f>VLOOKUP(10,$A$4:$AZ$32,35,FALSE)</f>
        <v>67</v>
      </c>
    </row>
    <row r="45" spans="1:35" ht="12.75">
      <c r="A45">
        <v>11</v>
      </c>
      <c r="B45" s="78" t="s">
        <v>87</v>
      </c>
      <c r="C45" s="104">
        <f>VLOOKUP(11,$A$4:$AZ$32,3,FALSE)</f>
        <v>439</v>
      </c>
      <c r="D45" s="104">
        <f>VLOOKUP(11,$A$4:$AZ$32,4,FALSE)</f>
        <v>509</v>
      </c>
      <c r="E45" s="104">
        <f>VLOOKUP(11,$A$4:$AZ$32,5,FALSE)</f>
        <v>483</v>
      </c>
      <c r="F45" s="104">
        <f>VLOOKUP(11,$A$4:$AZ$32,6,FALSE)</f>
        <v>472</v>
      </c>
      <c r="G45" s="104">
        <f>VLOOKUP(11,$A$4:$AZ$32,7,FALSE)</f>
        <v>487</v>
      </c>
      <c r="H45" s="104">
        <f>VLOOKUP(11,$A$4:$AZ$32,8,FALSE)</f>
        <v>487</v>
      </c>
      <c r="I45" s="104">
        <f>VLOOKUP(11,$A$4:$AZ$32,9,FALSE)</f>
        <v>515</v>
      </c>
      <c r="J45" s="104">
        <f>VLOOKUP(11,$A$4:$AZ$32,10,FALSE)</f>
        <v>517</v>
      </c>
      <c r="K45" s="104">
        <f>VLOOKUP(11,$A$4:$AZ$32,11,FALSE)</f>
        <v>516</v>
      </c>
      <c r="L45" s="104">
        <f>VLOOKUP(11,$A$4:$AZ$32,12,FALSE)</f>
        <v>501</v>
      </c>
      <c r="M45" s="104">
        <f>VLOOKUP(11,$A$4:$AZ$32,13,FALSE)</f>
        <v>533</v>
      </c>
      <c r="N45" s="104">
        <f>VLOOKUP(11,$A$4:$AZ$32,14,FALSE)</f>
        <v>548</v>
      </c>
      <c r="O45" s="104">
        <f>VLOOKUP(11,$A$4:$AZ$32,15,FALSE)</f>
        <v>561</v>
      </c>
      <c r="P45" s="104">
        <f>VLOOKUP(11,$A$4:$AZ$32,16,FALSE)</f>
        <v>542</v>
      </c>
      <c r="Q45" s="104">
        <f>VLOOKUP(11,$A$4:$AZ$32,17,FALSE)</f>
        <v>514</v>
      </c>
      <c r="R45" s="104">
        <f>VLOOKUP(11,$A$4:$AZ$32,18,FALSE)</f>
        <v>496</v>
      </c>
      <c r="S45" s="104">
        <f>VLOOKUP(11,$A$4:$AZ$32,19,FALSE)</f>
        <v>531</v>
      </c>
      <c r="T45" s="104">
        <f>VLOOKUP(11,$A$4:$AZ$32,20,FALSE)</f>
        <v>507</v>
      </c>
      <c r="U45" s="104">
        <f>VLOOKUP(11,$A$4:$AZ$32,21,FALSE)</f>
        <v>531</v>
      </c>
      <c r="V45" s="104">
        <f>VLOOKUP(11,$A$4:$AZ$32,22,FALSE)</f>
        <v>497</v>
      </c>
      <c r="W45" s="104">
        <f>VLOOKUP(11,$A$4:$AZ$32,23,FALSE)</f>
        <v>501</v>
      </c>
      <c r="X45" s="104">
        <f>VLOOKUP(11,$A$4:$AZ$32,24,FALSE)</f>
        <v>481</v>
      </c>
      <c r="Y45" s="104">
        <f>VLOOKUP(11,$A$4:$AZ$32,25,FALSE)</f>
        <v>531</v>
      </c>
      <c r="Z45" s="104">
        <f>VLOOKUP(11,$A$4:$AZ$32,26,FALSE)</f>
        <v>472</v>
      </c>
      <c r="AA45" s="104">
        <f>VLOOKUP(11,$A$4:$AZ$32,27,FALSE)</f>
        <v>538</v>
      </c>
      <c r="AB45" s="104">
        <f>VLOOKUP(11,$A$4:$AZ$32,28,FALSE)</f>
        <v>528</v>
      </c>
      <c r="AC45" s="104">
        <f>VLOOKUP(11,$A$4:$AZ$32,29,FALSE)</f>
        <v>507</v>
      </c>
      <c r="AD45" s="104">
        <f>VLOOKUP(11,$A$4:$AZ$32,30,FALSE)</f>
        <v>527</v>
      </c>
      <c r="AE45" s="104">
        <f>VLOOKUP(11,$A$4:$AZ$32,31,FALSE)</f>
        <v>509</v>
      </c>
      <c r="AF45" s="104">
        <f>VLOOKUP(11,$A$4:$AZ$32,32,FALSE)</f>
        <v>519</v>
      </c>
      <c r="AG45" s="104">
        <f>VLOOKUP(11,$A$4:$AZ$32,33,FALSE)</f>
        <v>500</v>
      </c>
      <c r="AH45" s="104">
        <f>VLOOKUP(11,$A$4:$AZ$32,34,FALSE)</f>
        <v>493</v>
      </c>
      <c r="AI45" s="104">
        <f>VLOOKUP(11,$A$4:$AZ$32,35,FALSE)</f>
        <v>551</v>
      </c>
    </row>
    <row r="46" spans="1:35" ht="12.75">
      <c r="A46">
        <v>12</v>
      </c>
      <c r="B46" s="78" t="s">
        <v>88</v>
      </c>
      <c r="C46" s="104">
        <f>VLOOKUP(12,$A$4:$AZ$32,3,FALSE)</f>
        <v>158</v>
      </c>
      <c r="D46" s="104">
        <f>VLOOKUP(12,$A$4:$AZ$32,4,FALSE)</f>
        <v>161</v>
      </c>
      <c r="E46" s="104">
        <f>VLOOKUP(12,$A$4:$AZ$32,5,FALSE)</f>
        <v>151</v>
      </c>
      <c r="F46" s="104">
        <f>VLOOKUP(12,$A$4:$AZ$32,6,FALSE)</f>
        <v>170</v>
      </c>
      <c r="G46" s="104">
        <f>VLOOKUP(12,$A$4:$AZ$32,7,FALSE)</f>
        <v>174</v>
      </c>
      <c r="H46" s="104">
        <f>VLOOKUP(12,$A$4:$AZ$32,8,FALSE)</f>
        <v>168</v>
      </c>
      <c r="I46" s="104">
        <f>VLOOKUP(12,$A$4:$AZ$32,9,FALSE)</f>
        <v>179</v>
      </c>
      <c r="J46" s="104">
        <f>VLOOKUP(12,$A$4:$AZ$32,10,FALSE)</f>
        <v>201</v>
      </c>
      <c r="K46" s="104">
        <f>VLOOKUP(12,$A$4:$AZ$32,11,FALSE)</f>
        <v>203</v>
      </c>
      <c r="L46" s="104">
        <f>VLOOKUP(12,$A$4:$AZ$32,12,FALSE)</f>
        <v>187</v>
      </c>
      <c r="M46" s="104">
        <f>VLOOKUP(12,$A$4:$AZ$32,13,FALSE)</f>
        <v>204</v>
      </c>
      <c r="N46" s="104">
        <f>VLOOKUP(12,$A$4:$AZ$32,14,FALSE)</f>
        <v>215</v>
      </c>
      <c r="O46" s="104">
        <f>VLOOKUP(12,$A$4:$AZ$32,15,FALSE)</f>
        <v>203</v>
      </c>
      <c r="P46" s="104">
        <f>VLOOKUP(12,$A$4:$AZ$32,16,FALSE)</f>
        <v>223</v>
      </c>
      <c r="Q46" s="104">
        <f>VLOOKUP(12,$A$4:$AZ$32,17,FALSE)</f>
        <v>205</v>
      </c>
      <c r="R46" s="104">
        <f>VLOOKUP(12,$A$4:$AZ$32,18,FALSE)</f>
        <v>214</v>
      </c>
      <c r="S46" s="104">
        <f>VLOOKUP(12,$A$4:$AZ$32,19,FALSE)</f>
        <v>207</v>
      </c>
      <c r="T46" s="104">
        <f>VLOOKUP(12,$A$4:$AZ$32,20,FALSE)</f>
        <v>187</v>
      </c>
      <c r="U46" s="104">
        <f>VLOOKUP(12,$A$4:$AZ$32,21,FALSE)</f>
        <v>193</v>
      </c>
      <c r="V46" s="104">
        <f>VLOOKUP(12,$A$4:$AZ$32,22,FALSE)</f>
        <v>193</v>
      </c>
      <c r="W46" s="104">
        <f>VLOOKUP(12,$A$4:$AZ$32,23,FALSE)</f>
        <v>220</v>
      </c>
      <c r="X46" s="104">
        <f>VLOOKUP(12,$A$4:$AZ$32,24,FALSE)</f>
        <v>183</v>
      </c>
      <c r="Y46" s="104">
        <f>VLOOKUP(12,$A$4:$AZ$32,25,FALSE)</f>
        <v>200</v>
      </c>
      <c r="Z46" s="104">
        <f>VLOOKUP(12,$A$4:$AZ$32,26,FALSE)</f>
        <v>176</v>
      </c>
      <c r="AA46" s="104">
        <f>VLOOKUP(12,$A$4:$AZ$32,27,FALSE)</f>
        <v>196</v>
      </c>
      <c r="AB46" s="104">
        <f>VLOOKUP(12,$A$4:$AZ$32,28,FALSE)</f>
        <v>188</v>
      </c>
      <c r="AC46" s="104">
        <f>VLOOKUP(12,$A$4:$AZ$32,29,FALSE)</f>
        <v>177</v>
      </c>
      <c r="AD46" s="104">
        <f>VLOOKUP(12,$A$4:$AZ$32,30,FALSE)</f>
        <v>188</v>
      </c>
      <c r="AE46" s="104">
        <f>VLOOKUP(12,$A$4:$AZ$32,31,FALSE)</f>
        <v>197</v>
      </c>
      <c r="AF46" s="104">
        <f>VLOOKUP(12,$A$4:$AZ$32,32,FALSE)</f>
        <v>199</v>
      </c>
      <c r="AG46" s="104">
        <f>VLOOKUP(12,$A$4:$AZ$32,33,FALSE)</f>
        <v>196</v>
      </c>
      <c r="AH46" s="104">
        <f>VLOOKUP(12,$A$4:$AZ$32,34,FALSE)</f>
        <v>197</v>
      </c>
      <c r="AI46" s="104">
        <f>VLOOKUP(12,$A$4:$AZ$32,35,FALSE)</f>
        <v>213</v>
      </c>
    </row>
    <row r="47" spans="1:35" ht="12.75">
      <c r="A47">
        <v>13</v>
      </c>
      <c r="B47" s="78" t="s">
        <v>89</v>
      </c>
      <c r="C47" s="104">
        <f>VLOOKUP(13,$A$4:$AZ$32,3,FALSE)</f>
        <v>182</v>
      </c>
      <c r="D47" s="104">
        <f>VLOOKUP(13,$A$4:$AZ$32,4,FALSE)</f>
        <v>184</v>
      </c>
      <c r="E47" s="104">
        <f>VLOOKUP(13,$A$4:$AZ$32,5,FALSE)</f>
        <v>174</v>
      </c>
      <c r="F47" s="104">
        <f>VLOOKUP(13,$A$4:$AZ$32,6,FALSE)</f>
        <v>184</v>
      </c>
      <c r="G47" s="104">
        <f>VLOOKUP(13,$A$4:$AZ$32,7,FALSE)</f>
        <v>178</v>
      </c>
      <c r="H47" s="104">
        <f>VLOOKUP(13,$A$4:$AZ$32,8,FALSE)</f>
        <v>168</v>
      </c>
      <c r="I47" s="104">
        <f>VLOOKUP(13,$A$4:$AZ$32,9,FALSE)</f>
        <v>179</v>
      </c>
      <c r="J47" s="104">
        <f>VLOOKUP(13,$A$4:$AZ$32,10,FALSE)</f>
        <v>175</v>
      </c>
      <c r="K47" s="104">
        <f>VLOOKUP(13,$A$4:$AZ$32,11,FALSE)</f>
        <v>178</v>
      </c>
      <c r="L47" s="104">
        <f>VLOOKUP(13,$A$4:$AZ$32,12,FALSE)</f>
        <v>161</v>
      </c>
      <c r="M47" s="104">
        <f>VLOOKUP(13,$A$4:$AZ$32,13,FALSE)</f>
        <v>188</v>
      </c>
      <c r="N47" s="104">
        <f>VLOOKUP(13,$A$4:$AZ$32,14,FALSE)</f>
        <v>175</v>
      </c>
      <c r="O47" s="104">
        <f>VLOOKUP(13,$A$4:$AZ$32,15,FALSE)</f>
        <v>183</v>
      </c>
      <c r="P47" s="104">
        <f>VLOOKUP(13,$A$4:$AZ$32,16,FALSE)</f>
        <v>184</v>
      </c>
      <c r="Q47" s="104">
        <f>VLOOKUP(13,$A$4:$AZ$32,17,FALSE)</f>
        <v>171</v>
      </c>
      <c r="R47" s="104">
        <f>VLOOKUP(13,$A$4:$AZ$32,18,FALSE)</f>
        <v>180</v>
      </c>
      <c r="S47" s="104">
        <f>VLOOKUP(13,$A$4:$AZ$32,19,FALSE)</f>
        <v>174</v>
      </c>
      <c r="T47" s="104">
        <f>VLOOKUP(13,$A$4:$AZ$32,20,FALSE)</f>
        <v>169</v>
      </c>
      <c r="U47" s="104">
        <f>VLOOKUP(13,$A$4:$AZ$32,21,FALSE)</f>
        <v>178</v>
      </c>
      <c r="V47" s="104">
        <f>VLOOKUP(13,$A$4:$AZ$32,22,FALSE)</f>
        <v>166</v>
      </c>
      <c r="W47" s="104">
        <f>VLOOKUP(13,$A$4:$AZ$32,23,FALSE)</f>
        <v>182</v>
      </c>
      <c r="X47" s="104">
        <f>VLOOKUP(13,$A$4:$AZ$32,24,FALSE)</f>
        <v>176</v>
      </c>
      <c r="Y47" s="104">
        <f>VLOOKUP(13,$A$4:$AZ$32,25,FALSE)</f>
        <v>176</v>
      </c>
      <c r="Z47" s="104">
        <f>VLOOKUP(13,$A$4:$AZ$32,26,FALSE)</f>
        <v>167</v>
      </c>
      <c r="AA47" s="104">
        <f>VLOOKUP(13,$A$4:$AZ$32,27,FALSE)</f>
        <v>173</v>
      </c>
      <c r="AB47" s="104">
        <f>VLOOKUP(13,$A$4:$AZ$32,28,FALSE)</f>
        <v>179</v>
      </c>
      <c r="AC47" s="104">
        <f>VLOOKUP(13,$A$4:$AZ$32,29,FALSE)</f>
        <v>181</v>
      </c>
      <c r="AD47" s="104">
        <f>VLOOKUP(13,$A$4:$AZ$32,30,FALSE)</f>
        <v>180</v>
      </c>
      <c r="AE47" s="104">
        <f>VLOOKUP(13,$A$4:$AZ$32,31,FALSE)</f>
        <v>170</v>
      </c>
      <c r="AF47" s="104">
        <f>VLOOKUP(13,$A$4:$AZ$32,32,FALSE)</f>
        <v>162</v>
      </c>
      <c r="AG47" s="104">
        <f>VLOOKUP(13,$A$4:$AZ$32,33,FALSE)</f>
        <v>155</v>
      </c>
      <c r="AH47" s="104">
        <f>VLOOKUP(13,$A$4:$AZ$32,34,FALSE)</f>
        <v>170</v>
      </c>
      <c r="AI47" s="104">
        <f>VLOOKUP(13,$A$4:$AZ$32,35,FALSE)</f>
        <v>185</v>
      </c>
    </row>
    <row r="48" spans="1:35" ht="12.75">
      <c r="A48">
        <v>14</v>
      </c>
      <c r="B48" s="78" t="s">
        <v>90</v>
      </c>
      <c r="C48" s="104">
        <f>VLOOKUP(14,$A$4:$AZ$32,3,FALSE)</f>
        <v>3</v>
      </c>
      <c r="D48" s="104">
        <f>VLOOKUP(14,$A$4:$AZ$32,4,FALSE)</f>
        <v>8</v>
      </c>
      <c r="E48" s="104">
        <f>VLOOKUP(14,$A$4:$AZ$32,5,FALSE)</f>
        <v>6</v>
      </c>
      <c r="F48" s="104">
        <f>VLOOKUP(14,$A$4:$AZ$32,6,FALSE)</f>
        <v>7</v>
      </c>
      <c r="G48" s="104">
        <f>VLOOKUP(14,$A$4:$AZ$32,7,FALSE)</f>
        <v>10</v>
      </c>
      <c r="H48" s="104">
        <f>VLOOKUP(14,$A$4:$AZ$32,8,FALSE)</f>
        <v>8</v>
      </c>
      <c r="I48" s="104">
        <f>VLOOKUP(14,$A$4:$AZ$32,9,FALSE)</f>
        <v>10</v>
      </c>
      <c r="J48" s="104">
        <f>VLOOKUP(14,$A$4:$AZ$32,10,FALSE)</f>
        <v>7</v>
      </c>
      <c r="K48" s="104">
        <f>VLOOKUP(14,$A$4:$AZ$32,11,FALSE)</f>
        <v>10</v>
      </c>
      <c r="L48" s="104">
        <f>VLOOKUP(14,$A$4:$AZ$32,12,FALSE)</f>
        <v>11</v>
      </c>
      <c r="M48" s="104">
        <f>VLOOKUP(14,$A$4:$AZ$32,13,FALSE)</f>
        <v>12</v>
      </c>
      <c r="N48" s="104">
        <f>VLOOKUP(14,$A$4:$AZ$32,14,FALSE)</f>
        <v>17</v>
      </c>
      <c r="O48" s="104">
        <f>VLOOKUP(14,$A$4:$AZ$32,15,FALSE)</f>
        <v>15</v>
      </c>
      <c r="P48" s="104">
        <f>VLOOKUP(14,$A$4:$AZ$32,16,FALSE)</f>
        <v>10</v>
      </c>
      <c r="Q48" s="104">
        <f>VLOOKUP(14,$A$4:$AZ$32,17,FALSE)</f>
        <v>13</v>
      </c>
      <c r="R48" s="104">
        <f>VLOOKUP(14,$A$4:$AZ$32,18,FALSE)</f>
        <v>15</v>
      </c>
      <c r="S48" s="104">
        <f>VLOOKUP(14,$A$4:$AZ$32,19,FALSE)</f>
        <v>13</v>
      </c>
      <c r="T48" s="104">
        <f>VLOOKUP(14,$A$4:$AZ$32,20,FALSE)</f>
        <v>11</v>
      </c>
      <c r="U48" s="104">
        <f>VLOOKUP(14,$A$4:$AZ$32,21,FALSE)</f>
        <v>15</v>
      </c>
      <c r="V48" s="104">
        <f>VLOOKUP(14,$A$4:$AZ$32,22,FALSE)</f>
        <v>10</v>
      </c>
      <c r="W48" s="104">
        <f>VLOOKUP(14,$A$4:$AZ$32,23,FALSE)</f>
        <v>8</v>
      </c>
      <c r="X48" s="104">
        <f>VLOOKUP(14,$A$4:$AZ$32,24,FALSE)</f>
        <v>12</v>
      </c>
      <c r="Y48" s="104">
        <f>VLOOKUP(14,$A$4:$AZ$32,25,FALSE)</f>
        <v>6</v>
      </c>
      <c r="Z48" s="104">
        <f>VLOOKUP(14,$A$4:$AZ$32,26,FALSE)</f>
        <v>12</v>
      </c>
      <c r="AA48" s="104">
        <f>VLOOKUP(14,$A$4:$AZ$32,27,FALSE)</f>
        <v>9</v>
      </c>
      <c r="AB48" s="104">
        <f>VLOOKUP(14,$A$4:$AZ$32,28,FALSE)</f>
        <v>12</v>
      </c>
      <c r="AC48" s="104">
        <f>VLOOKUP(14,$A$4:$AZ$32,29,FALSE)</f>
        <v>10</v>
      </c>
      <c r="AD48" s="104">
        <f>VLOOKUP(14,$A$4:$AZ$32,30,FALSE)</f>
        <v>13</v>
      </c>
      <c r="AE48" s="104">
        <f>VLOOKUP(14,$A$4:$AZ$32,31,FALSE)</f>
        <v>14</v>
      </c>
      <c r="AF48" s="104">
        <f>VLOOKUP(14,$A$4:$AZ$32,32,FALSE)</f>
        <v>18</v>
      </c>
      <c r="AG48" s="104">
        <f>VLOOKUP(14,$A$4:$AZ$32,33,FALSE)</f>
        <v>17</v>
      </c>
      <c r="AH48" s="104">
        <f>VLOOKUP(14,$A$4:$AZ$32,34,FALSE)</f>
        <v>17</v>
      </c>
      <c r="AI48" s="104">
        <f>VLOOKUP(14,$A$4:$AZ$32,35,FALSE)</f>
        <v>28</v>
      </c>
    </row>
    <row r="49" spans="1:35" ht="12.75">
      <c r="A49">
        <v>15</v>
      </c>
      <c r="B49" s="78" t="s">
        <v>91</v>
      </c>
      <c r="C49" s="104">
        <f>VLOOKUP(15,$A$4:$AZ$32,3,FALSE)</f>
        <v>0</v>
      </c>
      <c r="D49" s="104">
        <f>VLOOKUP(15,$A$4:$AZ$32,4,FALSE)</f>
        <v>0</v>
      </c>
      <c r="E49" s="104">
        <f>VLOOKUP(15,$A$4:$AZ$32,5,FALSE)</f>
        <v>0</v>
      </c>
      <c r="F49" s="104">
        <f>VLOOKUP(15,$A$4:$AZ$32,6,FALSE)</f>
        <v>0</v>
      </c>
      <c r="G49" s="104">
        <f>VLOOKUP(15,$A$4:$AZ$32,7,FALSE)</f>
        <v>0</v>
      </c>
      <c r="H49" s="104">
        <f>VLOOKUP(15,$A$4:$AZ$32,8,FALSE)</f>
        <v>0</v>
      </c>
      <c r="I49" s="104">
        <f>VLOOKUP(15,$A$4:$AZ$32,9,FALSE)</f>
        <v>0</v>
      </c>
      <c r="J49" s="104">
        <f>VLOOKUP(15,$A$4:$AZ$32,10,FALSE)</f>
        <v>0</v>
      </c>
      <c r="K49" s="104">
        <f>VLOOKUP(15,$A$4:$AZ$32,11,FALSE)</f>
        <v>0</v>
      </c>
      <c r="L49" s="104">
        <f>VLOOKUP(15,$A$4:$AZ$32,12,FALSE)</f>
        <v>0</v>
      </c>
      <c r="M49" s="104">
        <f>VLOOKUP(15,$A$4:$AZ$32,13,FALSE)</f>
        <v>0</v>
      </c>
      <c r="N49" s="104">
        <f>VLOOKUP(15,$A$4:$AZ$32,14,FALSE)</f>
        <v>0</v>
      </c>
      <c r="O49" s="104">
        <f>VLOOKUP(15,$A$4:$AZ$32,15,FALSE)</f>
        <v>0</v>
      </c>
      <c r="P49" s="104">
        <f>VLOOKUP(15,$A$4:$AZ$32,16,FALSE)</f>
        <v>0</v>
      </c>
      <c r="Q49" s="104">
        <f>VLOOKUP(15,$A$4:$AZ$32,17,FALSE)</f>
        <v>0</v>
      </c>
      <c r="R49" s="104">
        <f>VLOOKUP(15,$A$4:$AZ$32,18,FALSE)</f>
        <v>0</v>
      </c>
      <c r="S49" s="104">
        <f>VLOOKUP(15,$A$4:$AZ$32,19,FALSE)</f>
        <v>0</v>
      </c>
      <c r="T49" s="104">
        <f>VLOOKUP(15,$A$4:$AZ$32,20,FALSE)</f>
        <v>0</v>
      </c>
      <c r="U49" s="104">
        <f>VLOOKUP(15,$A$4:$AZ$32,21,FALSE)</f>
        <v>0</v>
      </c>
      <c r="V49" s="104">
        <f>VLOOKUP(15,$A$4:$AZ$32,22,FALSE)</f>
        <v>0</v>
      </c>
      <c r="W49" s="104">
        <f>VLOOKUP(15,$A$4:$AZ$32,23,FALSE)</f>
        <v>0</v>
      </c>
      <c r="X49" s="104">
        <f>VLOOKUP(15,$A$4:$AZ$32,24,FALSE)</f>
        <v>34</v>
      </c>
      <c r="Y49" s="104">
        <f>VLOOKUP(15,$A$4:$AZ$32,25,FALSE)</f>
        <v>73</v>
      </c>
      <c r="Z49" s="104">
        <f>VLOOKUP(15,$A$4:$AZ$32,26,FALSE)</f>
        <v>96</v>
      </c>
      <c r="AA49" s="104">
        <f>VLOOKUP(15,$A$4:$AZ$32,27,FALSE)</f>
        <v>127</v>
      </c>
      <c r="AB49" s="104">
        <f>VLOOKUP(15,$A$4:$AZ$32,28,FALSE)</f>
        <v>136</v>
      </c>
      <c r="AC49" s="104">
        <f>VLOOKUP(15,$A$4:$AZ$32,29,FALSE)</f>
        <v>148</v>
      </c>
      <c r="AD49" s="104">
        <f>VLOOKUP(15,$A$4:$AZ$32,30,FALSE)</f>
        <v>144</v>
      </c>
      <c r="AE49" s="104">
        <f>VLOOKUP(15,$A$4:$AZ$32,31,FALSE)</f>
        <v>163</v>
      </c>
      <c r="AF49" s="104">
        <f>VLOOKUP(15,$A$4:$AZ$32,32,FALSE)</f>
        <v>191</v>
      </c>
      <c r="AG49" s="104">
        <f>VLOOKUP(15,$A$4:$AZ$32,33,FALSE)</f>
        <v>214</v>
      </c>
      <c r="AH49" s="104">
        <f>VLOOKUP(15,$A$4:$AZ$32,34,FALSE)</f>
        <v>193</v>
      </c>
      <c r="AI49" s="104">
        <f>VLOOKUP(15,$A$4:$AZ$32,35,FALSE)</f>
        <v>230</v>
      </c>
    </row>
    <row r="50" spans="1:35" ht="12.75">
      <c r="A50">
        <v>16</v>
      </c>
      <c r="B50" s="78" t="s">
        <v>92</v>
      </c>
      <c r="C50" s="104">
        <f>VLOOKUP(16,$A$4:$AZ$32,3,FALSE)</f>
        <v>59</v>
      </c>
      <c r="D50" s="104">
        <f>VLOOKUP(16,$A$4:$AZ$32,4,FALSE)</f>
        <v>105</v>
      </c>
      <c r="E50" s="104">
        <f>VLOOKUP(16,$A$4:$AZ$32,5,FALSE)</f>
        <v>124</v>
      </c>
      <c r="F50" s="104">
        <f>VLOOKUP(16,$A$4:$AZ$32,6,FALSE)</f>
        <v>113</v>
      </c>
      <c r="G50" s="104">
        <f>VLOOKUP(16,$A$4:$AZ$32,7,FALSE)</f>
        <v>123</v>
      </c>
      <c r="H50" s="104">
        <f>VLOOKUP(16,$A$4:$AZ$32,8,FALSE)</f>
        <v>130</v>
      </c>
      <c r="I50" s="104">
        <f>VLOOKUP(16,$A$4:$AZ$32,9,FALSE)</f>
        <v>132</v>
      </c>
      <c r="J50" s="104">
        <f>VLOOKUP(16,$A$4:$AZ$32,10,FALSE)</f>
        <v>107</v>
      </c>
      <c r="K50" s="104">
        <f>VLOOKUP(16,$A$4:$AZ$32,11,FALSE)</f>
        <v>129</v>
      </c>
      <c r="L50" s="104">
        <f>VLOOKUP(16,$A$4:$AZ$32,12,FALSE)</f>
        <v>118</v>
      </c>
      <c r="M50" s="104">
        <f>VLOOKUP(16,$A$4:$AZ$32,13,FALSE)</f>
        <v>147</v>
      </c>
      <c r="N50" s="104">
        <f>VLOOKUP(16,$A$4:$AZ$32,14,FALSE)</f>
        <v>160</v>
      </c>
      <c r="O50" s="104">
        <f>VLOOKUP(16,$A$4:$AZ$32,15,FALSE)</f>
        <v>178</v>
      </c>
      <c r="P50" s="104">
        <f>VLOOKUP(16,$A$4:$AZ$32,16,FALSE)</f>
        <v>192</v>
      </c>
      <c r="Q50" s="104">
        <f>VLOOKUP(16,$A$4:$AZ$32,17,FALSE)</f>
        <v>168</v>
      </c>
      <c r="R50" s="104">
        <f>VLOOKUP(16,$A$4:$AZ$32,18,FALSE)</f>
        <v>182</v>
      </c>
      <c r="S50" s="104">
        <f>VLOOKUP(16,$A$4:$AZ$32,19,FALSE)</f>
        <v>182</v>
      </c>
      <c r="T50" s="104">
        <f>VLOOKUP(16,$A$4:$AZ$32,20,FALSE)</f>
        <v>199</v>
      </c>
      <c r="U50" s="104">
        <f>VLOOKUP(16,$A$4:$AZ$32,21,FALSE)</f>
        <v>196</v>
      </c>
      <c r="V50" s="104">
        <f>VLOOKUP(16,$A$4:$AZ$32,22,FALSE)</f>
        <v>195</v>
      </c>
      <c r="W50" s="104">
        <f>VLOOKUP(16,$A$4:$AZ$32,23,FALSE)</f>
        <v>208</v>
      </c>
      <c r="X50" s="104">
        <f>VLOOKUP(16,$A$4:$AZ$32,24,FALSE)</f>
        <v>217</v>
      </c>
      <c r="Y50" s="104">
        <f>VLOOKUP(16,$A$4:$AZ$32,25,FALSE)</f>
        <v>231</v>
      </c>
      <c r="Z50" s="104">
        <f>VLOOKUP(16,$A$4:$AZ$32,26,FALSE)</f>
        <v>212</v>
      </c>
      <c r="AA50" s="104">
        <f>VLOOKUP(16,$A$4:$AZ$32,27,FALSE)</f>
        <v>223</v>
      </c>
      <c r="AB50" s="104">
        <f>VLOOKUP(16,$A$4:$AZ$32,28,FALSE)</f>
        <v>243</v>
      </c>
      <c r="AC50" s="104">
        <f>VLOOKUP(16,$A$4:$AZ$32,29,FALSE)</f>
        <v>214</v>
      </c>
      <c r="AD50" s="104">
        <f>VLOOKUP(16,$A$4:$AZ$32,30,FALSE)</f>
        <v>229</v>
      </c>
      <c r="AE50" s="104">
        <f>VLOOKUP(16,$A$4:$AZ$32,31,FALSE)</f>
        <v>227</v>
      </c>
      <c r="AF50" s="104">
        <f>VLOOKUP(16,$A$4:$AZ$32,32,FALSE)</f>
        <v>253</v>
      </c>
      <c r="AG50" s="104">
        <f>VLOOKUP(16,$A$4:$AZ$32,33,FALSE)</f>
        <v>232</v>
      </c>
      <c r="AH50" s="104">
        <f>VLOOKUP(16,$A$4:$AZ$32,34,FALSE)</f>
        <v>233</v>
      </c>
      <c r="AI50" s="104">
        <f>VLOOKUP(16,$A$4:$AZ$32,35,FALSE)</f>
        <v>242</v>
      </c>
    </row>
    <row r="51" spans="1:35" ht="12.75">
      <c r="A51">
        <v>17</v>
      </c>
      <c r="B51" s="78" t="s">
        <v>93</v>
      </c>
      <c r="C51" s="104">
        <f>VLOOKUP(17,$A$4:$AZ$32,3,FALSE)</f>
        <v>4</v>
      </c>
      <c r="D51" s="104">
        <f>VLOOKUP(17,$A$4:$AZ$32,4,FALSE)</f>
        <v>9</v>
      </c>
      <c r="E51" s="104">
        <f>VLOOKUP(17,$A$4:$AZ$32,5,FALSE)</f>
        <v>9</v>
      </c>
      <c r="F51" s="104">
        <f>VLOOKUP(17,$A$4:$AZ$32,6,FALSE)</f>
        <v>9</v>
      </c>
      <c r="G51" s="104">
        <f>VLOOKUP(17,$A$4:$AZ$32,7,FALSE)</f>
        <v>14</v>
      </c>
      <c r="H51" s="104">
        <f>VLOOKUP(17,$A$4:$AZ$32,8,FALSE)</f>
        <v>16</v>
      </c>
      <c r="I51" s="104">
        <f>VLOOKUP(17,$A$4:$AZ$32,9,FALSE)</f>
        <v>21</v>
      </c>
      <c r="J51" s="104">
        <f>VLOOKUP(17,$A$4:$AZ$32,10,FALSE)</f>
        <v>15</v>
      </c>
      <c r="K51" s="104">
        <f>VLOOKUP(17,$A$4:$AZ$32,11,FALSE)</f>
        <v>14</v>
      </c>
      <c r="L51" s="104">
        <f>VLOOKUP(17,$A$4:$AZ$32,12,FALSE)</f>
        <v>19</v>
      </c>
      <c r="M51" s="104">
        <f>VLOOKUP(17,$A$4:$AZ$32,13,FALSE)</f>
        <v>25</v>
      </c>
      <c r="N51" s="104">
        <f>VLOOKUP(17,$A$4:$AZ$32,14,FALSE)</f>
        <v>19</v>
      </c>
      <c r="O51" s="104">
        <f>VLOOKUP(17,$A$4:$AZ$32,15,FALSE)</f>
        <v>19</v>
      </c>
      <c r="P51" s="104">
        <f>VLOOKUP(17,$A$4:$AZ$32,16,FALSE)</f>
        <v>20</v>
      </c>
      <c r="Q51" s="104">
        <f>VLOOKUP(17,$A$4:$AZ$32,17,FALSE)</f>
        <v>16</v>
      </c>
      <c r="R51" s="104">
        <f>VLOOKUP(17,$A$4:$AZ$32,18,FALSE)</f>
        <v>18</v>
      </c>
      <c r="S51" s="104">
        <f>VLOOKUP(17,$A$4:$AZ$32,19,FALSE)</f>
        <v>21</v>
      </c>
      <c r="T51" s="104">
        <f>VLOOKUP(17,$A$4:$AZ$32,20,FALSE)</f>
        <v>17</v>
      </c>
      <c r="U51" s="104">
        <f>VLOOKUP(17,$A$4:$AZ$32,21,FALSE)</f>
        <v>27</v>
      </c>
      <c r="V51" s="104">
        <f>VLOOKUP(17,$A$4:$AZ$32,22,FALSE)</f>
        <v>26</v>
      </c>
      <c r="W51" s="104">
        <f>VLOOKUP(17,$A$4:$AZ$32,23,FALSE)</f>
        <v>23</v>
      </c>
      <c r="X51" s="104">
        <f>VLOOKUP(17,$A$4:$AZ$32,24,FALSE)</f>
        <v>20</v>
      </c>
      <c r="Y51" s="104">
        <f>VLOOKUP(17,$A$4:$AZ$32,25,FALSE)</f>
        <v>27</v>
      </c>
      <c r="Z51" s="104">
        <f>VLOOKUP(17,$A$4:$AZ$32,26,FALSE)</f>
        <v>21</v>
      </c>
      <c r="AA51" s="104">
        <f>VLOOKUP(17,$A$4:$AZ$32,27,FALSE)</f>
        <v>28</v>
      </c>
      <c r="AB51" s="104">
        <f>VLOOKUP(17,$A$4:$AZ$32,28,FALSE)</f>
        <v>26</v>
      </c>
      <c r="AC51" s="104">
        <f>VLOOKUP(17,$A$4:$AZ$32,29,FALSE)</f>
        <v>23</v>
      </c>
      <c r="AD51" s="104">
        <f>VLOOKUP(17,$A$4:$AZ$32,30,FALSE)</f>
        <v>34</v>
      </c>
      <c r="AE51" s="104">
        <f>VLOOKUP(17,$A$4:$AZ$32,31,FALSE)</f>
        <v>24</v>
      </c>
      <c r="AF51" s="104">
        <f>VLOOKUP(17,$A$4:$AZ$32,32,FALSE)</f>
        <v>33</v>
      </c>
      <c r="AG51" s="104">
        <f>VLOOKUP(17,$A$4:$AZ$32,33,FALSE)</f>
        <v>28</v>
      </c>
      <c r="AH51" s="104">
        <f>VLOOKUP(17,$A$4:$AZ$32,34,FALSE)</f>
        <v>25</v>
      </c>
      <c r="AI51" s="104">
        <f>VLOOKUP(17,$A$4:$AZ$32,35,FALSE)</f>
        <v>30</v>
      </c>
    </row>
    <row r="52" spans="1:35" ht="12.75">
      <c r="A52">
        <v>18</v>
      </c>
      <c r="B52" s="78" t="s">
        <v>94</v>
      </c>
      <c r="C52" s="104">
        <f>VLOOKUP(18,$A$4:$AZ$32,3,FALSE)</f>
        <v>0</v>
      </c>
      <c r="D52" s="104">
        <f>VLOOKUP(18,$A$4:$AZ$32,4,FALSE)</f>
        <v>0</v>
      </c>
      <c r="E52" s="104">
        <f>VLOOKUP(18,$A$4:$AZ$32,5,FALSE)</f>
        <v>0</v>
      </c>
      <c r="F52" s="104">
        <f>VLOOKUP(18,$A$4:$AZ$32,6,FALSE)</f>
        <v>0</v>
      </c>
      <c r="G52" s="104">
        <f>VLOOKUP(18,$A$4:$AZ$32,7,FALSE)</f>
        <v>0</v>
      </c>
      <c r="H52" s="104">
        <f>VLOOKUP(18,$A$4:$AZ$32,8,FALSE)</f>
        <v>0</v>
      </c>
      <c r="I52" s="104">
        <f>VLOOKUP(18,$A$4:$AZ$32,9,FALSE)</f>
        <v>0</v>
      </c>
      <c r="J52" s="104">
        <f>VLOOKUP(18,$A$4:$AZ$32,10,FALSE)</f>
        <v>0</v>
      </c>
      <c r="K52" s="104">
        <f>VLOOKUP(18,$A$4:$AZ$32,11,FALSE)</f>
        <v>5</v>
      </c>
      <c r="L52" s="104">
        <f>VLOOKUP(18,$A$4:$AZ$32,12,FALSE)</f>
        <v>13</v>
      </c>
      <c r="M52" s="104">
        <f>VLOOKUP(18,$A$4:$AZ$32,13,FALSE)</f>
        <v>30</v>
      </c>
      <c r="N52" s="104">
        <f>VLOOKUP(18,$A$4:$AZ$32,14,FALSE)</f>
        <v>42</v>
      </c>
      <c r="O52" s="104">
        <f>VLOOKUP(18,$A$4:$AZ$32,15,FALSE)</f>
        <v>45</v>
      </c>
      <c r="P52" s="104">
        <f>VLOOKUP(18,$A$4:$AZ$32,16,FALSE)</f>
        <v>75</v>
      </c>
      <c r="Q52" s="104">
        <f>VLOOKUP(18,$A$4:$AZ$32,17,FALSE)</f>
        <v>66</v>
      </c>
      <c r="R52" s="104">
        <f>VLOOKUP(18,$A$4:$AZ$32,18,FALSE)</f>
        <v>76</v>
      </c>
      <c r="S52" s="104">
        <f>VLOOKUP(18,$A$4:$AZ$32,19,FALSE)</f>
        <v>103</v>
      </c>
      <c r="T52" s="104">
        <f>VLOOKUP(18,$A$4:$AZ$32,20,FALSE)</f>
        <v>103</v>
      </c>
      <c r="U52" s="104">
        <f>VLOOKUP(18,$A$4:$AZ$32,21,FALSE)</f>
        <v>104</v>
      </c>
      <c r="V52" s="104">
        <f>VLOOKUP(18,$A$4:$AZ$32,22,FALSE)</f>
        <v>126</v>
      </c>
      <c r="W52" s="104">
        <f>VLOOKUP(18,$A$4:$AZ$32,23,FALSE)</f>
        <v>123</v>
      </c>
      <c r="X52" s="104">
        <f>VLOOKUP(18,$A$4:$AZ$32,24,FALSE)</f>
        <v>147</v>
      </c>
      <c r="Y52" s="104">
        <f>VLOOKUP(18,$A$4:$AZ$32,25,FALSE)</f>
        <v>150</v>
      </c>
      <c r="Z52" s="104">
        <f>VLOOKUP(18,$A$4:$AZ$32,26,FALSE)</f>
        <v>119</v>
      </c>
      <c r="AA52" s="104">
        <f>VLOOKUP(18,$A$4:$AZ$32,27,FALSE)</f>
        <v>142</v>
      </c>
      <c r="AB52" s="104">
        <f>VLOOKUP(18,$A$4:$AZ$32,28,FALSE)</f>
        <v>141</v>
      </c>
      <c r="AC52" s="104">
        <f>VLOOKUP(18,$A$4:$AZ$32,29,FALSE)</f>
        <v>141</v>
      </c>
      <c r="AD52" s="104">
        <f>VLOOKUP(18,$A$4:$AZ$32,30,FALSE)</f>
        <v>142</v>
      </c>
      <c r="AE52" s="104">
        <f>VLOOKUP(18,$A$4:$AZ$32,31,FALSE)</f>
        <v>140</v>
      </c>
      <c r="AF52" s="104">
        <f>VLOOKUP(18,$A$4:$AZ$32,32,FALSE)</f>
        <v>159</v>
      </c>
      <c r="AG52" s="104">
        <f>VLOOKUP(18,$A$4:$AZ$32,33,FALSE)</f>
        <v>154</v>
      </c>
      <c r="AH52" s="104">
        <f>VLOOKUP(18,$A$4:$AZ$32,34,FALSE)</f>
        <v>139</v>
      </c>
      <c r="AI52" s="104">
        <f>VLOOKUP(18,$A$4:$AZ$32,35,FALSE)</f>
        <v>161</v>
      </c>
    </row>
    <row r="53" spans="1:35" ht="12.75">
      <c r="A53">
        <v>19</v>
      </c>
      <c r="B53" s="78" t="s">
        <v>95</v>
      </c>
      <c r="C53" s="104">
        <f>VLOOKUP(19,$A$4:$AZ$32,3,FALSE)</f>
        <v>0</v>
      </c>
      <c r="D53" s="104">
        <f>VLOOKUP(19,$A$4:$AZ$32,4,FALSE)</f>
        <v>0</v>
      </c>
      <c r="E53" s="104">
        <f>VLOOKUP(19,$A$4:$AZ$32,5,FALSE)</f>
        <v>0</v>
      </c>
      <c r="F53" s="104">
        <f>VLOOKUP(19,$A$4:$AZ$32,6,FALSE)</f>
        <v>0</v>
      </c>
      <c r="G53" s="104">
        <f>VLOOKUP(19,$A$4:$AZ$32,7,FALSE)</f>
        <v>0</v>
      </c>
      <c r="H53" s="104">
        <f>VLOOKUP(19,$A$4:$AZ$32,8,FALSE)</f>
        <v>0</v>
      </c>
      <c r="I53" s="104">
        <f>VLOOKUP(19,$A$4:$AZ$32,9,FALSE)</f>
        <v>0</v>
      </c>
      <c r="J53" s="104">
        <f>VLOOKUP(19,$A$4:$AZ$32,10,FALSE)</f>
        <v>0</v>
      </c>
      <c r="K53" s="104">
        <f>VLOOKUP(19,$A$4:$AZ$32,11,FALSE)</f>
        <v>0</v>
      </c>
      <c r="L53" s="104">
        <f>VLOOKUP(19,$A$4:$AZ$32,12,FALSE)</f>
        <v>0</v>
      </c>
      <c r="M53" s="104">
        <f>VLOOKUP(19,$A$4:$AZ$32,13,FALSE)</f>
        <v>0</v>
      </c>
      <c r="N53" s="104">
        <f>VLOOKUP(19,$A$4:$AZ$32,14,FALSE)</f>
        <v>0</v>
      </c>
      <c r="O53" s="104">
        <f>VLOOKUP(19,$A$4:$AZ$32,15,FALSE)</f>
        <v>0</v>
      </c>
      <c r="P53" s="104">
        <f>VLOOKUP(19,$A$4:$AZ$32,16,FALSE)</f>
        <v>0</v>
      </c>
      <c r="Q53" s="104">
        <f>VLOOKUP(19,$A$4:$AZ$32,17,FALSE)</f>
        <v>0</v>
      </c>
      <c r="R53" s="104">
        <f>VLOOKUP(19,$A$4:$AZ$32,18,FALSE)</f>
        <v>0</v>
      </c>
      <c r="S53" s="104">
        <f>VLOOKUP(19,$A$4:$AZ$32,19,FALSE)</f>
        <v>0</v>
      </c>
      <c r="T53" s="104">
        <f>VLOOKUP(19,$A$4:$AZ$32,20,FALSE)</f>
        <v>0</v>
      </c>
      <c r="U53" s="104">
        <f>VLOOKUP(19,$A$4:$AZ$32,21,FALSE)</f>
        <v>0</v>
      </c>
      <c r="V53" s="104">
        <f>VLOOKUP(19,$A$4:$AZ$32,22,FALSE)</f>
        <v>0</v>
      </c>
      <c r="W53" s="104">
        <f>VLOOKUP(19,$A$4:$AZ$32,23,FALSE)</f>
        <v>2</v>
      </c>
      <c r="X53" s="104">
        <f>VLOOKUP(19,$A$4:$AZ$32,24,FALSE)</f>
        <v>9</v>
      </c>
      <c r="Y53" s="104">
        <f>VLOOKUP(19,$A$4:$AZ$32,25,FALSE)</f>
        <v>23</v>
      </c>
      <c r="Z53" s="104">
        <f>VLOOKUP(19,$A$4:$AZ$32,26,FALSE)</f>
        <v>24</v>
      </c>
      <c r="AA53" s="104">
        <f>VLOOKUP(19,$A$4:$AZ$32,27,FALSE)</f>
        <v>27</v>
      </c>
      <c r="AB53" s="104">
        <f>VLOOKUP(19,$A$4:$AZ$32,28,FALSE)</f>
        <v>34</v>
      </c>
      <c r="AC53" s="104">
        <f>VLOOKUP(19,$A$4:$AZ$32,29,FALSE)</f>
        <v>34</v>
      </c>
      <c r="AD53" s="104">
        <f>VLOOKUP(19,$A$4:$AZ$32,30,FALSE)</f>
        <v>32</v>
      </c>
      <c r="AE53" s="104">
        <f>VLOOKUP(19,$A$4:$AZ$32,31,FALSE)</f>
        <v>34</v>
      </c>
      <c r="AF53" s="104">
        <f>VLOOKUP(19,$A$4:$AZ$32,32,FALSE)</f>
        <v>33</v>
      </c>
      <c r="AG53" s="104">
        <f>VLOOKUP(19,$A$4:$AZ$32,33,FALSE)</f>
        <v>35</v>
      </c>
      <c r="AH53" s="104">
        <f>VLOOKUP(19,$A$4:$AZ$32,34,FALSE)</f>
        <v>36</v>
      </c>
      <c r="AI53" s="104">
        <f>VLOOKUP(19,$A$4:$AZ$32,35,FALSE)</f>
        <v>45</v>
      </c>
    </row>
    <row r="54" spans="1:35" ht="12.75">
      <c r="A54">
        <v>20</v>
      </c>
      <c r="B54" s="78" t="s">
        <v>96</v>
      </c>
      <c r="C54" s="104">
        <f>VLOOKUP(20,$A$4:$AZ$32,3,FALSE)</f>
        <v>0</v>
      </c>
      <c r="D54" s="104">
        <f>VLOOKUP(20,$A$4:$AZ$32,4,FALSE)</f>
        <v>0</v>
      </c>
      <c r="E54" s="104">
        <f>VLOOKUP(20,$A$4:$AZ$32,5,FALSE)</f>
        <v>0</v>
      </c>
      <c r="F54" s="104">
        <f>VLOOKUP(20,$A$4:$AZ$32,6,FALSE)</f>
        <v>0</v>
      </c>
      <c r="G54" s="104">
        <f>VLOOKUP(20,$A$4:$AZ$32,7,FALSE)</f>
        <v>0</v>
      </c>
      <c r="H54" s="104">
        <f>VLOOKUP(20,$A$4:$AZ$32,8,FALSE)</f>
        <v>0</v>
      </c>
      <c r="I54" s="104">
        <f>VLOOKUP(20,$A$4:$AZ$32,9,FALSE)</f>
        <v>0</v>
      </c>
      <c r="J54" s="104">
        <f>VLOOKUP(20,$A$4:$AZ$32,10,FALSE)</f>
        <v>0</v>
      </c>
      <c r="K54" s="104">
        <f>VLOOKUP(20,$A$4:$AZ$32,11,FALSE)</f>
        <v>0</v>
      </c>
      <c r="L54" s="104">
        <f>VLOOKUP(20,$A$4:$AZ$32,12,FALSE)</f>
        <v>0</v>
      </c>
      <c r="M54" s="104">
        <f>VLOOKUP(20,$A$4:$AZ$32,13,FALSE)</f>
        <v>0</v>
      </c>
      <c r="N54" s="104">
        <f>VLOOKUP(20,$A$4:$AZ$32,14,FALSE)</f>
        <v>0</v>
      </c>
      <c r="O54" s="104">
        <f>VLOOKUP(20,$A$4:$AZ$32,15,FALSE)</f>
        <v>0</v>
      </c>
      <c r="P54" s="104">
        <f>VLOOKUP(20,$A$4:$AZ$32,16,FALSE)</f>
        <v>0</v>
      </c>
      <c r="Q54" s="104">
        <f>VLOOKUP(20,$A$4:$AZ$32,17,FALSE)</f>
        <v>0</v>
      </c>
      <c r="R54" s="104">
        <f>VLOOKUP(20,$A$4:$AZ$32,18,FALSE)</f>
        <v>0</v>
      </c>
      <c r="S54" s="104">
        <f>VLOOKUP(20,$A$4:$AZ$32,19,FALSE)</f>
        <v>0</v>
      </c>
      <c r="T54" s="104">
        <f>VLOOKUP(20,$A$4:$AZ$32,20,FALSE)</f>
        <v>0</v>
      </c>
      <c r="U54" s="104">
        <f>VLOOKUP(20,$A$4:$AZ$32,21,FALSE)</f>
        <v>0</v>
      </c>
      <c r="V54" s="104">
        <f>VLOOKUP(20,$A$4:$AZ$32,22,FALSE)</f>
        <v>0</v>
      </c>
      <c r="W54" s="104">
        <f>VLOOKUP(20,$A$4:$AZ$32,23,FALSE)</f>
        <v>0</v>
      </c>
      <c r="X54" s="104">
        <f>VLOOKUP(20,$A$4:$AZ$32,24,FALSE)</f>
        <v>6</v>
      </c>
      <c r="Y54" s="104">
        <f>VLOOKUP(20,$A$4:$AZ$32,25,FALSE)</f>
        <v>9</v>
      </c>
      <c r="Z54" s="104">
        <f>VLOOKUP(20,$A$4:$AZ$32,26,FALSE)</f>
        <v>9</v>
      </c>
      <c r="AA54" s="104">
        <f>VLOOKUP(20,$A$4:$AZ$32,27,FALSE)</f>
        <v>20</v>
      </c>
      <c r="AB54" s="104">
        <f>VLOOKUP(20,$A$4:$AZ$32,28,FALSE)</f>
        <v>19</v>
      </c>
      <c r="AC54" s="104">
        <f>VLOOKUP(20,$A$4:$AZ$32,29,FALSE)</f>
        <v>23</v>
      </c>
      <c r="AD54" s="104">
        <f>VLOOKUP(20,$A$4:$AZ$32,30,FALSE)</f>
        <v>27</v>
      </c>
      <c r="AE54" s="104">
        <f>VLOOKUP(20,$A$4:$AZ$32,31,FALSE)</f>
        <v>31</v>
      </c>
      <c r="AF54" s="104">
        <f>VLOOKUP(20,$A$4:$AZ$32,32,FALSE)</f>
        <v>41</v>
      </c>
      <c r="AG54" s="104">
        <f>VLOOKUP(20,$A$4:$AZ$32,33,FALSE)</f>
        <v>30</v>
      </c>
      <c r="AH54" s="104">
        <f>VLOOKUP(20,$A$4:$AZ$32,34,FALSE)</f>
        <v>29</v>
      </c>
      <c r="AI54" s="104">
        <f>VLOOKUP(20,$A$4:$AZ$32,35,FALSE)</f>
        <v>33</v>
      </c>
    </row>
    <row r="55" spans="1:35" ht="12.75">
      <c r="A55">
        <v>21</v>
      </c>
      <c r="B55" s="78" t="s">
        <v>97</v>
      </c>
      <c r="C55" s="104">
        <f>VLOOKUP(21,$A$4:$AZ$32,3,FALSE)</f>
        <v>5</v>
      </c>
      <c r="D55" s="104">
        <f>VLOOKUP(21,$A$4:$AZ$32,4,FALSE)</f>
        <v>11</v>
      </c>
      <c r="E55" s="104">
        <f>VLOOKUP(21,$A$4:$AZ$32,5,FALSE)</f>
        <v>8</v>
      </c>
      <c r="F55" s="104">
        <f>VLOOKUP(21,$A$4:$AZ$32,6,FALSE)</f>
        <v>6</v>
      </c>
      <c r="G55" s="104">
        <f>VLOOKUP(21,$A$4:$AZ$32,7,FALSE)</f>
        <v>7</v>
      </c>
      <c r="H55" s="104">
        <f>VLOOKUP(21,$A$4:$AZ$32,8,FALSE)</f>
        <v>11</v>
      </c>
      <c r="I55" s="104">
        <f>VLOOKUP(21,$A$4:$AZ$32,9,FALSE)</f>
        <v>13</v>
      </c>
      <c r="J55" s="104">
        <f>VLOOKUP(21,$A$4:$AZ$32,10,FALSE)</f>
        <v>10</v>
      </c>
      <c r="K55" s="104">
        <f>VLOOKUP(21,$A$4:$AZ$32,11,FALSE)</f>
        <v>12</v>
      </c>
      <c r="L55" s="104">
        <f>VLOOKUP(21,$A$4:$AZ$32,12,FALSE)</f>
        <v>9</v>
      </c>
      <c r="M55" s="104">
        <f>VLOOKUP(21,$A$4:$AZ$32,13,FALSE)</f>
        <v>10</v>
      </c>
      <c r="N55" s="104">
        <f>VLOOKUP(21,$A$4:$AZ$32,14,FALSE)</f>
        <v>9</v>
      </c>
      <c r="O55" s="104">
        <f>VLOOKUP(21,$A$4:$AZ$32,15,FALSE)</f>
        <v>15</v>
      </c>
      <c r="P55" s="104">
        <f>VLOOKUP(21,$A$4:$AZ$32,16,FALSE)</f>
        <v>11</v>
      </c>
      <c r="Q55" s="104">
        <f>VLOOKUP(21,$A$4:$AZ$32,17,FALSE)</f>
        <v>12</v>
      </c>
      <c r="R55" s="104">
        <f>VLOOKUP(21,$A$4:$AZ$32,18,FALSE)</f>
        <v>14</v>
      </c>
      <c r="S55" s="104">
        <f>VLOOKUP(21,$A$4:$AZ$32,19,FALSE)</f>
        <v>13</v>
      </c>
      <c r="T55" s="104">
        <f>VLOOKUP(21,$A$4:$AZ$32,20,FALSE)</f>
        <v>12</v>
      </c>
      <c r="U55" s="104">
        <f>VLOOKUP(21,$A$4:$AZ$32,21,FALSE)</f>
        <v>11</v>
      </c>
      <c r="V55" s="104">
        <f>VLOOKUP(21,$A$4:$AZ$32,22,FALSE)</f>
        <v>12</v>
      </c>
      <c r="W55" s="104">
        <f>VLOOKUP(21,$A$4:$AZ$32,23,FALSE)</f>
        <v>16</v>
      </c>
      <c r="X55" s="104">
        <f>VLOOKUP(21,$A$4:$AZ$32,24,FALSE)</f>
        <v>14</v>
      </c>
      <c r="Y55" s="104">
        <f>VLOOKUP(21,$A$4:$AZ$32,25,FALSE)</f>
        <v>10</v>
      </c>
      <c r="Z55" s="104">
        <f>VLOOKUP(21,$A$4:$AZ$32,26,FALSE)</f>
        <v>12</v>
      </c>
      <c r="AA55" s="104">
        <f>VLOOKUP(21,$A$4:$AZ$32,27,FALSE)</f>
        <v>11</v>
      </c>
      <c r="AB55" s="104">
        <f>VLOOKUP(21,$A$4:$AZ$32,28,FALSE)</f>
        <v>15</v>
      </c>
      <c r="AC55" s="104">
        <f>VLOOKUP(21,$A$4:$AZ$32,29,FALSE)</f>
        <v>12</v>
      </c>
      <c r="AD55" s="104">
        <f>VLOOKUP(21,$A$4:$AZ$32,30,FALSE)</f>
        <v>15</v>
      </c>
      <c r="AE55" s="104">
        <f>VLOOKUP(21,$A$4:$AZ$32,31,FALSE)</f>
        <v>16</v>
      </c>
      <c r="AF55" s="104">
        <f>VLOOKUP(21,$A$4:$AZ$32,32,FALSE)</f>
        <v>19</v>
      </c>
      <c r="AG55" s="104">
        <f>VLOOKUP(21,$A$4:$AZ$32,33,FALSE)</f>
        <v>17</v>
      </c>
      <c r="AH55" s="104">
        <f>VLOOKUP(21,$A$4:$AZ$32,34,FALSE)</f>
        <v>12</v>
      </c>
      <c r="AI55" s="104">
        <f>VLOOKUP(21,$A$4:$AZ$32,35,FALSE)</f>
        <v>14</v>
      </c>
    </row>
    <row r="56" spans="1:35" ht="25.5">
      <c r="A56">
        <v>22</v>
      </c>
      <c r="B56" s="78" t="s">
        <v>98</v>
      </c>
      <c r="C56" s="104">
        <f>VLOOKUP(22,$A$4:$AZ$32,3,FALSE)</f>
        <v>68</v>
      </c>
      <c r="D56" s="104">
        <f>VLOOKUP(22,$A$4:$AZ$32,4,FALSE)</f>
        <v>83</v>
      </c>
      <c r="E56" s="104">
        <f>VLOOKUP(22,$A$4:$AZ$32,5,FALSE)</f>
        <v>68</v>
      </c>
      <c r="F56" s="104">
        <f>VLOOKUP(22,$A$4:$AZ$32,6,FALSE)</f>
        <v>76</v>
      </c>
      <c r="G56" s="104">
        <f>VLOOKUP(22,$A$4:$AZ$32,7,FALSE)</f>
        <v>81</v>
      </c>
      <c r="H56" s="104">
        <f>VLOOKUP(22,$A$4:$AZ$32,8,FALSE)</f>
        <v>67</v>
      </c>
      <c r="I56" s="104">
        <f>VLOOKUP(22,$A$4:$AZ$32,9,FALSE)</f>
        <v>78</v>
      </c>
      <c r="J56" s="104">
        <f>VLOOKUP(22,$A$4:$AZ$32,10,FALSE)</f>
        <v>73</v>
      </c>
      <c r="K56" s="104">
        <f>VLOOKUP(22,$A$4:$AZ$32,11,FALSE)</f>
        <v>75</v>
      </c>
      <c r="L56" s="104">
        <f>VLOOKUP(22,$A$4:$AZ$32,12,FALSE)</f>
        <v>65</v>
      </c>
      <c r="M56" s="104">
        <f>VLOOKUP(22,$A$4:$AZ$32,13,FALSE)</f>
        <v>85</v>
      </c>
      <c r="N56" s="104">
        <f>VLOOKUP(22,$A$4:$AZ$32,14,FALSE)</f>
        <v>72</v>
      </c>
      <c r="O56" s="104">
        <f>VLOOKUP(22,$A$4:$AZ$32,15,FALSE)</f>
        <v>83</v>
      </c>
      <c r="P56" s="104">
        <f>VLOOKUP(22,$A$4:$AZ$32,16,FALSE)</f>
        <v>68</v>
      </c>
      <c r="Q56" s="104">
        <f>VLOOKUP(22,$A$4:$AZ$32,17,FALSE)</f>
        <v>66</v>
      </c>
      <c r="R56" s="104">
        <f>VLOOKUP(22,$A$4:$AZ$32,18,FALSE)</f>
        <v>61</v>
      </c>
      <c r="S56" s="104">
        <f>VLOOKUP(22,$A$4:$AZ$32,19,FALSE)</f>
        <v>73</v>
      </c>
      <c r="T56" s="104">
        <f>VLOOKUP(22,$A$4:$AZ$32,20,FALSE)</f>
        <v>68</v>
      </c>
      <c r="U56" s="104">
        <f>VLOOKUP(22,$A$4:$AZ$32,21,FALSE)</f>
        <v>62</v>
      </c>
      <c r="V56" s="104">
        <f>VLOOKUP(22,$A$4:$AZ$32,22,FALSE)</f>
        <v>69</v>
      </c>
      <c r="W56" s="104">
        <f>VLOOKUP(22,$A$4:$AZ$32,23,FALSE)</f>
        <v>57</v>
      </c>
      <c r="X56" s="104">
        <f>VLOOKUP(22,$A$4:$AZ$32,24,FALSE)</f>
        <v>65</v>
      </c>
      <c r="Y56" s="104">
        <f>VLOOKUP(22,$A$4:$AZ$32,25,FALSE)</f>
        <v>66</v>
      </c>
      <c r="Z56" s="104">
        <f>VLOOKUP(22,$A$4:$AZ$32,26,FALSE)</f>
        <v>59</v>
      </c>
      <c r="AA56" s="104">
        <f>VLOOKUP(22,$A$4:$AZ$32,27,FALSE)</f>
        <v>69</v>
      </c>
      <c r="AB56" s="104">
        <f>VLOOKUP(22,$A$4:$AZ$32,28,FALSE)</f>
        <v>65</v>
      </c>
      <c r="AC56" s="104">
        <f>VLOOKUP(22,$A$4:$AZ$32,29,FALSE)</f>
        <v>60</v>
      </c>
      <c r="AD56" s="104">
        <f>VLOOKUP(22,$A$4:$AZ$32,30,FALSE)</f>
        <v>56</v>
      </c>
      <c r="AE56" s="104">
        <f>VLOOKUP(22,$A$4:$AZ$32,31,FALSE)</f>
        <v>67</v>
      </c>
      <c r="AF56" s="104">
        <f>VLOOKUP(22,$A$4:$AZ$32,32,FALSE)</f>
        <v>55</v>
      </c>
      <c r="AG56" s="104">
        <f>VLOOKUP(22,$A$4:$AZ$32,33,FALSE)</f>
        <v>67</v>
      </c>
      <c r="AH56" s="104">
        <f>VLOOKUP(22,$A$4:$AZ$32,34,FALSE)</f>
        <v>63</v>
      </c>
      <c r="AI56" s="104">
        <f>VLOOKUP(22,$A$4:$AZ$32,35,FALSE)</f>
        <v>60</v>
      </c>
    </row>
    <row r="57" spans="1:35" ht="25.5">
      <c r="A57">
        <v>23</v>
      </c>
      <c r="B57" s="78" t="s">
        <v>99</v>
      </c>
      <c r="C57" s="104">
        <f>VLOOKUP(23,$A$4:$AZ$32,3,FALSE)</f>
        <v>30</v>
      </c>
      <c r="D57" s="104">
        <f>VLOOKUP(23,$A$4:$AZ$32,4,FALSE)</f>
        <v>39</v>
      </c>
      <c r="E57" s="104">
        <f>VLOOKUP(23,$A$4:$AZ$32,5,FALSE)</f>
        <v>45</v>
      </c>
      <c r="F57" s="104">
        <f>VLOOKUP(23,$A$4:$AZ$32,6,FALSE)</f>
        <v>29</v>
      </c>
      <c r="G57" s="104">
        <f>VLOOKUP(23,$A$4:$AZ$32,7,FALSE)</f>
        <v>34</v>
      </c>
      <c r="H57" s="104">
        <f>VLOOKUP(23,$A$4:$AZ$32,8,FALSE)</f>
        <v>26</v>
      </c>
      <c r="I57" s="104">
        <f>VLOOKUP(23,$A$4:$AZ$32,9,FALSE)</f>
        <v>29</v>
      </c>
      <c r="J57" s="104">
        <f>VLOOKUP(23,$A$4:$AZ$32,10,FALSE)</f>
        <v>28</v>
      </c>
      <c r="K57" s="104">
        <f>VLOOKUP(23,$A$4:$AZ$32,11,FALSE)</f>
        <v>30</v>
      </c>
      <c r="L57" s="104">
        <f>VLOOKUP(23,$A$4:$AZ$32,12,FALSE)</f>
        <v>30</v>
      </c>
      <c r="M57" s="104">
        <f>VLOOKUP(23,$A$4:$AZ$32,13,FALSE)</f>
        <v>32</v>
      </c>
      <c r="N57" s="104">
        <f>VLOOKUP(23,$A$4:$AZ$32,14,FALSE)</f>
        <v>29</v>
      </c>
      <c r="O57" s="104">
        <f>VLOOKUP(23,$A$4:$AZ$32,15,FALSE)</f>
        <v>31</v>
      </c>
      <c r="P57" s="104">
        <f>VLOOKUP(23,$A$4:$AZ$32,16,FALSE)</f>
        <v>27</v>
      </c>
      <c r="Q57" s="104">
        <f>VLOOKUP(23,$A$4:$AZ$32,17,FALSE)</f>
        <v>26</v>
      </c>
      <c r="R57" s="104">
        <f>VLOOKUP(23,$A$4:$AZ$32,18,FALSE)</f>
        <v>29</v>
      </c>
      <c r="S57" s="104">
        <f>VLOOKUP(23,$A$4:$AZ$32,19,FALSE)</f>
        <v>30</v>
      </c>
      <c r="T57" s="104">
        <f>VLOOKUP(23,$A$4:$AZ$32,20,FALSE)</f>
        <v>31</v>
      </c>
      <c r="U57" s="104">
        <f>VLOOKUP(23,$A$4:$AZ$32,21,FALSE)</f>
        <v>31</v>
      </c>
      <c r="V57" s="104">
        <f>VLOOKUP(23,$A$4:$AZ$32,22,FALSE)</f>
        <v>36</v>
      </c>
      <c r="W57" s="104">
        <f>VLOOKUP(23,$A$4:$AZ$32,23,FALSE)</f>
        <v>32</v>
      </c>
      <c r="X57" s="104">
        <f>VLOOKUP(23,$A$4:$AZ$32,24,FALSE)</f>
        <v>31</v>
      </c>
      <c r="Y57" s="104">
        <f>VLOOKUP(23,$A$4:$AZ$32,25,FALSE)</f>
        <v>28</v>
      </c>
      <c r="Z57" s="104">
        <f>VLOOKUP(23,$A$4:$AZ$32,26,FALSE)</f>
        <v>27</v>
      </c>
      <c r="AA57" s="104">
        <f>VLOOKUP(23,$A$4:$AZ$32,27,FALSE)</f>
        <v>28</v>
      </c>
      <c r="AB57" s="104">
        <f>VLOOKUP(23,$A$4:$AZ$32,28,FALSE)</f>
        <v>24</v>
      </c>
      <c r="AC57" s="104">
        <f>VLOOKUP(23,$A$4:$AZ$32,29,FALSE)</f>
        <v>24</v>
      </c>
      <c r="AD57" s="104">
        <f>VLOOKUP(23,$A$4:$AZ$32,30,FALSE)</f>
        <v>29</v>
      </c>
      <c r="AE57" s="104">
        <f>VLOOKUP(23,$A$4:$AZ$32,31,FALSE)</f>
        <v>21</v>
      </c>
      <c r="AF57" s="104">
        <f>VLOOKUP(23,$A$4:$AZ$32,32,FALSE)</f>
        <v>27</v>
      </c>
      <c r="AG57" s="104">
        <f>VLOOKUP(23,$A$4:$AZ$32,33,FALSE)</f>
        <v>25</v>
      </c>
      <c r="AH57" s="104">
        <f>VLOOKUP(23,$A$4:$AZ$32,34,FALSE)</f>
        <v>27</v>
      </c>
      <c r="AI57" s="104">
        <f>VLOOKUP(23,$A$4:$AZ$32,35,FALSE)</f>
        <v>27</v>
      </c>
    </row>
    <row r="58" spans="1:35" ht="25.5">
      <c r="A58">
        <v>24</v>
      </c>
      <c r="B58" s="78" t="s">
        <v>100</v>
      </c>
      <c r="C58" s="104">
        <f>VLOOKUP(24,$A$4:$AZ$32,3,FALSE)</f>
        <v>15</v>
      </c>
      <c r="D58" s="104">
        <f>VLOOKUP(24,$A$4:$AZ$32,4,FALSE)</f>
        <v>13</v>
      </c>
      <c r="E58" s="104">
        <f>VLOOKUP(24,$A$4:$AZ$32,5,FALSE)</f>
        <v>11</v>
      </c>
      <c r="F58" s="104">
        <f>VLOOKUP(24,$A$4:$AZ$32,6,FALSE)</f>
        <v>14</v>
      </c>
      <c r="G58" s="104">
        <f>VLOOKUP(24,$A$4:$AZ$32,7,FALSE)</f>
        <v>15</v>
      </c>
      <c r="H58" s="104">
        <f>VLOOKUP(24,$A$4:$AZ$32,8,FALSE)</f>
        <v>18</v>
      </c>
      <c r="I58" s="104">
        <f>VLOOKUP(24,$A$4:$AZ$32,9,FALSE)</f>
        <v>15</v>
      </c>
      <c r="J58" s="104">
        <f>VLOOKUP(24,$A$4:$AZ$32,10,FALSE)</f>
        <v>15</v>
      </c>
      <c r="K58" s="104">
        <f>VLOOKUP(24,$A$4:$AZ$32,11,FALSE)</f>
        <v>17</v>
      </c>
      <c r="L58" s="104">
        <f>VLOOKUP(24,$A$4:$AZ$32,12,FALSE)</f>
        <v>17</v>
      </c>
      <c r="M58" s="104">
        <f>VLOOKUP(24,$A$4:$AZ$32,13,FALSE)</f>
        <v>12</v>
      </c>
      <c r="N58" s="104">
        <f>VLOOKUP(24,$A$4:$AZ$32,14,FALSE)</f>
        <v>15</v>
      </c>
      <c r="O58" s="104">
        <f>VLOOKUP(24,$A$4:$AZ$32,15,FALSE)</f>
        <v>12</v>
      </c>
      <c r="P58" s="104">
        <f>VLOOKUP(24,$A$4:$AZ$32,16,FALSE)</f>
        <v>12</v>
      </c>
      <c r="Q58" s="104">
        <f>VLOOKUP(24,$A$4:$AZ$32,17,FALSE)</f>
        <v>10</v>
      </c>
      <c r="R58" s="104">
        <f>VLOOKUP(24,$A$4:$AZ$32,18,FALSE)</f>
        <v>12</v>
      </c>
      <c r="S58" s="104">
        <f>VLOOKUP(24,$A$4:$AZ$32,19,FALSE)</f>
        <v>14</v>
      </c>
      <c r="T58" s="104">
        <f>VLOOKUP(24,$A$4:$AZ$32,20,FALSE)</f>
        <v>12</v>
      </c>
      <c r="U58" s="104">
        <f>VLOOKUP(24,$A$4:$AZ$32,21,FALSE)</f>
        <v>17</v>
      </c>
      <c r="V58" s="104">
        <f>VLOOKUP(24,$A$4:$AZ$32,22,FALSE)</f>
        <v>13</v>
      </c>
      <c r="W58" s="104">
        <f>VLOOKUP(24,$A$4:$AZ$32,23,FALSE)</f>
        <v>13</v>
      </c>
      <c r="X58" s="104">
        <f>VLOOKUP(24,$A$4:$AZ$32,24,FALSE)</f>
        <v>11</v>
      </c>
      <c r="Y58" s="104">
        <f>VLOOKUP(24,$A$4:$AZ$32,25,FALSE)</f>
        <v>13</v>
      </c>
      <c r="Z58" s="104">
        <f>VLOOKUP(24,$A$4:$AZ$32,26,FALSE)</f>
        <v>14</v>
      </c>
      <c r="AA58" s="104">
        <f>VLOOKUP(24,$A$4:$AZ$32,27,FALSE)</f>
        <v>17</v>
      </c>
      <c r="AB58" s="104">
        <f>VLOOKUP(24,$A$4:$AZ$32,28,FALSE)</f>
        <v>16</v>
      </c>
      <c r="AC58" s="104">
        <f>VLOOKUP(24,$A$4:$AZ$32,29,FALSE)</f>
        <v>15</v>
      </c>
      <c r="AD58" s="104">
        <f>VLOOKUP(24,$A$4:$AZ$32,30,FALSE)</f>
        <v>15</v>
      </c>
      <c r="AE58" s="104">
        <f>VLOOKUP(24,$A$4:$AZ$32,31,FALSE)</f>
        <v>16</v>
      </c>
      <c r="AF58" s="104">
        <f>VLOOKUP(24,$A$4:$AZ$32,32,FALSE)</f>
        <v>14</v>
      </c>
      <c r="AG58" s="104">
        <f>VLOOKUP(24,$A$4:$AZ$32,33,FALSE)</f>
        <v>11</v>
      </c>
      <c r="AH58" s="104">
        <f>VLOOKUP(24,$A$4:$AZ$32,34,FALSE)</f>
        <v>16</v>
      </c>
      <c r="AI58" s="104">
        <f>VLOOKUP(24,$A$4:$AZ$32,35,FALSE)</f>
        <v>19</v>
      </c>
    </row>
    <row r="59" spans="1:35" ht="25.5">
      <c r="A59">
        <v>25</v>
      </c>
      <c r="B59" s="78" t="s">
        <v>101</v>
      </c>
      <c r="C59" s="104">
        <f>VLOOKUP(25,$A$4:$AZ$32,3,FALSE)</f>
        <v>0</v>
      </c>
      <c r="D59" s="104">
        <f>VLOOKUP(25,$A$4:$AZ$32,4,FALSE)</f>
        <v>0</v>
      </c>
      <c r="E59" s="104">
        <f>VLOOKUP(25,$A$4:$AZ$32,5,FALSE)</f>
        <v>0</v>
      </c>
      <c r="F59" s="104">
        <f>VLOOKUP(25,$A$4:$AZ$32,6,FALSE)</f>
        <v>0</v>
      </c>
      <c r="G59" s="104">
        <f>VLOOKUP(25,$A$4:$AZ$32,7,FALSE)</f>
        <v>0</v>
      </c>
      <c r="H59" s="104">
        <f>VLOOKUP(25,$A$4:$AZ$32,8,FALSE)</f>
        <v>0</v>
      </c>
      <c r="I59" s="104">
        <f>VLOOKUP(25,$A$4:$AZ$32,9,FALSE)</f>
        <v>0</v>
      </c>
      <c r="J59" s="104">
        <f>VLOOKUP(25,$A$4:$AZ$32,10,FALSE)</f>
        <v>0</v>
      </c>
      <c r="K59" s="104">
        <f>VLOOKUP(25,$A$4:$AZ$32,11,FALSE)</f>
        <v>0</v>
      </c>
      <c r="L59" s="104">
        <f>VLOOKUP(25,$A$4:$AZ$32,12,FALSE)</f>
        <v>0</v>
      </c>
      <c r="M59" s="104">
        <f>VLOOKUP(25,$A$4:$AZ$32,13,FALSE)</f>
        <v>0</v>
      </c>
      <c r="N59" s="104">
        <f>VLOOKUP(25,$A$4:$AZ$32,14,FALSE)</f>
        <v>0</v>
      </c>
      <c r="O59" s="104">
        <f>VLOOKUP(25,$A$4:$AZ$32,15,FALSE)</f>
        <v>0</v>
      </c>
      <c r="P59" s="104">
        <f>VLOOKUP(25,$A$4:$AZ$32,16,FALSE)</f>
        <v>0</v>
      </c>
      <c r="Q59" s="104">
        <f>VLOOKUP(25,$A$4:$AZ$32,17,FALSE)</f>
        <v>0</v>
      </c>
      <c r="R59" s="104">
        <f>VLOOKUP(25,$A$4:$AZ$32,18,FALSE)</f>
        <v>0</v>
      </c>
      <c r="S59" s="104">
        <f>VLOOKUP(25,$A$4:$AZ$32,19,FALSE)</f>
        <v>0</v>
      </c>
      <c r="T59" s="104">
        <f>VLOOKUP(25,$A$4:$AZ$32,20,FALSE)</f>
        <v>0</v>
      </c>
      <c r="U59" s="104">
        <f>VLOOKUP(25,$A$4:$AZ$32,21,FALSE)</f>
        <v>0</v>
      </c>
      <c r="V59" s="104">
        <f>VLOOKUP(25,$A$4:$AZ$32,22,FALSE)</f>
        <v>0</v>
      </c>
      <c r="W59" s="104">
        <f>VLOOKUP(25,$A$4:$AZ$32,23,FALSE)</f>
        <v>0</v>
      </c>
      <c r="X59" s="104">
        <f>VLOOKUP(25,$A$4:$AZ$32,24,FALSE)</f>
        <v>0</v>
      </c>
      <c r="Y59" s="104">
        <f>VLOOKUP(25,$A$4:$AZ$32,25,FALSE)</f>
        <v>47</v>
      </c>
      <c r="Z59" s="104">
        <f>VLOOKUP(25,$A$4:$AZ$32,26,FALSE)</f>
        <v>91</v>
      </c>
      <c r="AA59" s="104">
        <f>VLOOKUP(25,$A$4:$AZ$32,27,FALSE)</f>
        <v>144</v>
      </c>
      <c r="AB59" s="104">
        <f>VLOOKUP(25,$A$4:$AZ$32,28,FALSE)</f>
        <v>188</v>
      </c>
      <c r="AC59" s="104">
        <f>VLOOKUP(25,$A$4:$AZ$32,29,FALSE)</f>
        <v>199</v>
      </c>
      <c r="AD59" s="104">
        <f>VLOOKUP(25,$A$4:$AZ$32,30,FALSE)</f>
        <v>227</v>
      </c>
      <c r="AE59" s="104">
        <f>VLOOKUP(25,$A$4:$AZ$32,31,FALSE)</f>
        <v>232</v>
      </c>
      <c r="AF59" s="104">
        <f>VLOOKUP(25,$A$4:$AZ$32,32,FALSE)</f>
        <v>245</v>
      </c>
      <c r="AG59" s="104">
        <f>VLOOKUP(25,$A$4:$AZ$32,33,FALSE)</f>
        <v>254</v>
      </c>
      <c r="AH59" s="104">
        <f>VLOOKUP(25,$A$4:$AZ$32,34,FALSE)</f>
        <v>264</v>
      </c>
      <c r="AI59" s="104">
        <f>VLOOKUP(25,$A$4:$AZ$32,35,FALSE)</f>
        <v>293</v>
      </c>
    </row>
    <row r="60" spans="1:35" ht="25.5">
      <c r="A60">
        <v>26</v>
      </c>
      <c r="B60" s="78" t="s">
        <v>102</v>
      </c>
      <c r="C60" s="104">
        <f>VLOOKUP(26,$A$4:$AZ$32,3,FALSE)</f>
        <v>431</v>
      </c>
      <c r="D60" s="104">
        <f>VLOOKUP(26,$A$4:$AZ$32,4,FALSE)</f>
        <v>503</v>
      </c>
      <c r="E60" s="104">
        <f>VLOOKUP(26,$A$4:$AZ$32,5,FALSE)</f>
        <v>459</v>
      </c>
      <c r="F60" s="104">
        <f>VLOOKUP(26,$A$4:$AZ$32,6,FALSE)</f>
        <v>501</v>
      </c>
      <c r="G60" s="104">
        <f>VLOOKUP(26,$A$4:$AZ$32,7,FALSE)</f>
        <v>489</v>
      </c>
      <c r="H60" s="104">
        <f>VLOOKUP(26,$A$4:$AZ$32,8,FALSE)</f>
        <v>486</v>
      </c>
      <c r="I60" s="104">
        <f>VLOOKUP(26,$A$4:$AZ$32,9,FALSE)</f>
        <v>537</v>
      </c>
      <c r="J60" s="104">
        <f>VLOOKUP(26,$A$4:$AZ$32,10,FALSE)</f>
        <v>528</v>
      </c>
      <c r="K60" s="104">
        <f>VLOOKUP(26,$A$4:$AZ$32,11,FALSE)</f>
        <v>534</v>
      </c>
      <c r="L60" s="104">
        <f>VLOOKUP(26,$A$4:$AZ$32,12,FALSE)</f>
        <v>520</v>
      </c>
      <c r="M60" s="104">
        <f>VLOOKUP(26,$A$4:$AZ$32,13,FALSE)</f>
        <v>579</v>
      </c>
      <c r="N60" s="104">
        <f>VLOOKUP(26,$A$4:$AZ$32,14,FALSE)</f>
        <v>550</v>
      </c>
      <c r="O60" s="104">
        <f>VLOOKUP(26,$A$4:$AZ$32,15,FALSE)</f>
        <v>569</v>
      </c>
      <c r="P60" s="104">
        <f>VLOOKUP(26,$A$4:$AZ$32,16,FALSE)</f>
        <v>547</v>
      </c>
      <c r="Q60" s="104">
        <f>VLOOKUP(26,$A$4:$AZ$32,17,FALSE)</f>
        <v>532</v>
      </c>
      <c r="R60" s="104">
        <f>VLOOKUP(26,$A$4:$AZ$32,18,FALSE)</f>
        <v>547</v>
      </c>
      <c r="S60" s="104">
        <f>VLOOKUP(26,$A$4:$AZ$32,19,FALSE)</f>
        <v>533</v>
      </c>
      <c r="T60" s="104">
        <f>VLOOKUP(26,$A$4:$AZ$32,20,FALSE)</f>
        <v>529</v>
      </c>
      <c r="U60" s="104">
        <f>VLOOKUP(26,$A$4:$AZ$32,21,FALSE)</f>
        <v>569</v>
      </c>
      <c r="V60" s="104">
        <f>VLOOKUP(26,$A$4:$AZ$32,22,FALSE)</f>
        <v>537</v>
      </c>
      <c r="W60" s="104">
        <f>VLOOKUP(26,$A$4:$AZ$32,23,FALSE)</f>
        <v>537</v>
      </c>
      <c r="X60" s="104">
        <f>VLOOKUP(26,$A$4:$AZ$32,24,FALSE)</f>
        <v>489</v>
      </c>
      <c r="Y60" s="104">
        <f>VLOOKUP(26,$A$4:$AZ$32,25,FALSE)</f>
        <v>506</v>
      </c>
      <c r="Z60" s="104">
        <f>VLOOKUP(26,$A$4:$AZ$32,26,FALSE)</f>
        <v>395</v>
      </c>
      <c r="AA60" s="104">
        <f>VLOOKUP(26,$A$4:$AZ$32,27,FALSE)</f>
        <v>408</v>
      </c>
      <c r="AB60" s="104">
        <f>VLOOKUP(26,$A$4:$AZ$32,28,FALSE)</f>
        <v>382</v>
      </c>
      <c r="AC60" s="104">
        <f>VLOOKUP(26,$A$4:$AZ$32,29,FALSE)</f>
        <v>323</v>
      </c>
      <c r="AD60" s="104">
        <f>VLOOKUP(26,$A$4:$AZ$32,30,FALSE)</f>
        <v>341</v>
      </c>
      <c r="AE60" s="104">
        <f>VLOOKUP(26,$A$4:$AZ$32,31,FALSE)</f>
        <v>313</v>
      </c>
      <c r="AF60" s="104">
        <f>VLOOKUP(26,$A$4:$AZ$32,32,FALSE)</f>
        <v>317</v>
      </c>
      <c r="AG60" s="104">
        <f>VLOOKUP(26,$A$4:$AZ$32,33,FALSE)</f>
        <v>301</v>
      </c>
      <c r="AH60" s="104">
        <f>VLOOKUP(26,$A$4:$AZ$32,34,FALSE)</f>
        <v>263</v>
      </c>
      <c r="AI60" s="104">
        <f>VLOOKUP(26,$A$4:$AZ$32,35,FALSE)</f>
        <v>281</v>
      </c>
    </row>
    <row r="61" spans="1:35" ht="25.5">
      <c r="A61">
        <v>27</v>
      </c>
      <c r="B61" s="78" t="s">
        <v>103</v>
      </c>
      <c r="C61" s="104">
        <f>VLOOKUP(27,$A$4:$AZ$32,3,FALSE)</f>
        <v>333</v>
      </c>
      <c r="D61" s="104">
        <f>VLOOKUP(27,$A$4:$AZ$32,4,FALSE)</f>
        <v>383</v>
      </c>
      <c r="E61" s="104">
        <f>VLOOKUP(27,$A$4:$AZ$32,5,FALSE)</f>
        <v>331</v>
      </c>
      <c r="F61" s="104">
        <f>VLOOKUP(27,$A$4:$AZ$32,6,FALSE)</f>
        <v>348</v>
      </c>
      <c r="G61" s="104">
        <f>VLOOKUP(27,$A$4:$AZ$32,7,FALSE)</f>
        <v>353</v>
      </c>
      <c r="H61" s="104">
        <f>VLOOKUP(27,$A$4:$AZ$32,8,FALSE)</f>
        <v>352</v>
      </c>
      <c r="I61" s="104">
        <f>VLOOKUP(27,$A$4:$AZ$32,9,FALSE)</f>
        <v>365</v>
      </c>
      <c r="J61" s="104">
        <f>VLOOKUP(27,$A$4:$AZ$32,10,FALSE)</f>
        <v>359</v>
      </c>
      <c r="K61" s="104">
        <f>VLOOKUP(27,$A$4:$AZ$32,11,FALSE)</f>
        <v>329</v>
      </c>
      <c r="L61" s="104">
        <f>VLOOKUP(27,$A$4:$AZ$32,12,FALSE)</f>
        <v>292</v>
      </c>
      <c r="M61" s="104">
        <f>VLOOKUP(27,$A$4:$AZ$32,13,FALSE)</f>
        <v>352</v>
      </c>
      <c r="N61" s="104">
        <f>VLOOKUP(27,$A$4:$AZ$32,14,FALSE)</f>
        <v>326</v>
      </c>
      <c r="O61" s="104">
        <f>VLOOKUP(27,$A$4:$AZ$32,15,FALSE)</f>
        <v>331</v>
      </c>
      <c r="P61" s="104">
        <f>VLOOKUP(27,$A$4:$AZ$32,16,FALSE)</f>
        <v>336</v>
      </c>
      <c r="Q61" s="104">
        <f>VLOOKUP(27,$A$4:$AZ$32,17,FALSE)</f>
        <v>322</v>
      </c>
      <c r="R61" s="104">
        <f>VLOOKUP(27,$A$4:$AZ$32,18,FALSE)</f>
        <v>331</v>
      </c>
      <c r="S61" s="104">
        <f>VLOOKUP(27,$A$4:$AZ$32,19,FALSE)</f>
        <v>343</v>
      </c>
      <c r="T61" s="104">
        <f>VLOOKUP(27,$A$4:$AZ$32,20,FALSE)</f>
        <v>336</v>
      </c>
      <c r="U61" s="104">
        <f>VLOOKUP(27,$A$4:$AZ$32,21,FALSE)</f>
        <v>333</v>
      </c>
      <c r="V61" s="104">
        <f>VLOOKUP(27,$A$4:$AZ$32,22,FALSE)</f>
        <v>350</v>
      </c>
      <c r="W61" s="104">
        <f>VLOOKUP(27,$A$4:$AZ$32,23,FALSE)</f>
        <v>314</v>
      </c>
      <c r="X61" s="104">
        <f>VLOOKUP(27,$A$4:$AZ$32,24,FALSE)</f>
        <v>325</v>
      </c>
      <c r="Y61" s="104">
        <f>VLOOKUP(27,$A$4:$AZ$32,25,FALSE)</f>
        <v>325</v>
      </c>
      <c r="Z61" s="104">
        <f>VLOOKUP(27,$A$4:$AZ$32,26,FALSE)</f>
        <v>295</v>
      </c>
      <c r="AA61" s="104">
        <f>VLOOKUP(27,$A$4:$AZ$32,27,FALSE)</f>
        <v>320</v>
      </c>
      <c r="AB61" s="104">
        <f>VLOOKUP(27,$A$4:$AZ$32,28,FALSE)</f>
        <v>296</v>
      </c>
      <c r="AC61" s="104">
        <f>VLOOKUP(27,$A$4:$AZ$32,29,FALSE)</f>
        <v>277</v>
      </c>
      <c r="AD61" s="104">
        <f>VLOOKUP(27,$A$4:$AZ$32,30,FALSE)</f>
        <v>292</v>
      </c>
      <c r="AE61" s="104">
        <f>VLOOKUP(27,$A$4:$AZ$32,31,FALSE)</f>
        <v>289</v>
      </c>
      <c r="AF61" s="104">
        <f>VLOOKUP(27,$A$4:$AZ$32,32,FALSE)</f>
        <v>312</v>
      </c>
      <c r="AG61" s="104">
        <f>VLOOKUP(27,$A$4:$AZ$32,33,FALSE)</f>
        <v>291</v>
      </c>
      <c r="AH61" s="104">
        <f>VLOOKUP(27,$A$4:$AZ$32,34,FALSE)</f>
        <v>282</v>
      </c>
      <c r="AI61" s="104">
        <f>VLOOKUP(27,$A$4:$AZ$32,35,FALSE)</f>
        <v>295</v>
      </c>
    </row>
    <row r="62" spans="1:35" ht="25.5">
      <c r="A62">
        <v>28</v>
      </c>
      <c r="B62" s="78" t="s">
        <v>104</v>
      </c>
      <c r="C62" s="104">
        <f>VLOOKUP(28,$A$4:$AZ$32,3,FALSE)</f>
        <v>111</v>
      </c>
      <c r="D62" s="104">
        <f>VLOOKUP(28,$A$4:$AZ$32,4,FALSE)</f>
        <v>143</v>
      </c>
      <c r="E62" s="104">
        <f>VLOOKUP(28,$A$4:$AZ$32,5,FALSE)</f>
        <v>138</v>
      </c>
      <c r="F62" s="104">
        <f>VLOOKUP(28,$A$4:$AZ$32,6,FALSE)</f>
        <v>110</v>
      </c>
      <c r="G62" s="104">
        <f>VLOOKUP(28,$A$4:$AZ$32,7,FALSE)</f>
        <v>130</v>
      </c>
      <c r="H62" s="104">
        <f>VLOOKUP(28,$A$4:$AZ$32,8,FALSE)</f>
        <v>119</v>
      </c>
      <c r="I62" s="104">
        <f>VLOOKUP(28,$A$4:$AZ$32,9,FALSE)</f>
        <v>123</v>
      </c>
      <c r="J62" s="104">
        <f>VLOOKUP(28,$A$4:$AZ$32,10,FALSE)</f>
        <v>128</v>
      </c>
      <c r="K62" s="104">
        <f>VLOOKUP(28,$A$4:$AZ$32,11,FALSE)</f>
        <v>116</v>
      </c>
      <c r="L62" s="104">
        <f>VLOOKUP(28,$A$4:$AZ$32,12,FALSE)</f>
        <v>114</v>
      </c>
      <c r="M62" s="104">
        <f>VLOOKUP(28,$A$4:$AZ$32,13,FALSE)</f>
        <v>118</v>
      </c>
      <c r="N62" s="104">
        <f>VLOOKUP(28,$A$4:$AZ$32,14,FALSE)</f>
        <v>107</v>
      </c>
      <c r="O62" s="104">
        <f>VLOOKUP(28,$A$4:$AZ$32,15,FALSE)</f>
        <v>117</v>
      </c>
      <c r="P62" s="104">
        <f>VLOOKUP(28,$A$4:$AZ$32,16,FALSE)</f>
        <v>113</v>
      </c>
      <c r="Q62" s="104">
        <f>VLOOKUP(28,$A$4:$AZ$32,17,FALSE)</f>
        <v>103</v>
      </c>
      <c r="R62" s="104">
        <f>VLOOKUP(28,$A$4:$AZ$32,18,FALSE)</f>
        <v>114</v>
      </c>
      <c r="S62" s="104">
        <f>VLOOKUP(28,$A$4:$AZ$32,19,FALSE)</f>
        <v>118</v>
      </c>
      <c r="T62" s="104">
        <f>VLOOKUP(28,$A$4:$AZ$32,20,FALSE)</f>
        <v>121</v>
      </c>
      <c r="U62" s="104">
        <f>VLOOKUP(28,$A$4:$AZ$32,21,FALSE)</f>
        <v>111</v>
      </c>
      <c r="V62" s="104">
        <f>VLOOKUP(28,$A$4:$AZ$32,22,FALSE)</f>
        <v>115</v>
      </c>
      <c r="W62" s="104">
        <f>VLOOKUP(28,$A$4:$AZ$32,23,FALSE)</f>
        <v>120</v>
      </c>
      <c r="X62" s="104">
        <f>VLOOKUP(28,$A$4:$AZ$32,24,FALSE)</f>
        <v>107</v>
      </c>
      <c r="Y62" s="104">
        <f>VLOOKUP(28,$A$4:$AZ$32,25,FALSE)</f>
        <v>117</v>
      </c>
      <c r="Z62" s="104">
        <f>VLOOKUP(28,$A$4:$AZ$32,26,FALSE)</f>
        <v>101</v>
      </c>
      <c r="AA62" s="104">
        <f>VLOOKUP(28,$A$4:$AZ$32,27,FALSE)</f>
        <v>104</v>
      </c>
      <c r="AB62" s="104">
        <f>VLOOKUP(28,$A$4:$AZ$32,28,FALSE)</f>
        <v>107</v>
      </c>
      <c r="AC62" s="104">
        <f>VLOOKUP(28,$A$4:$AZ$32,29,FALSE)</f>
        <v>94</v>
      </c>
      <c r="AD62" s="104">
        <f>VLOOKUP(28,$A$4:$AZ$32,30,FALSE)</f>
        <v>103</v>
      </c>
      <c r="AE62" s="104">
        <f>VLOOKUP(28,$A$4:$AZ$32,31,FALSE)</f>
        <v>94</v>
      </c>
      <c r="AF62" s="104">
        <f>VLOOKUP(28,$A$4:$AZ$32,32,FALSE)</f>
        <v>106</v>
      </c>
      <c r="AG62" s="104">
        <f>VLOOKUP(28,$A$4:$AZ$32,33,FALSE)</f>
        <v>104</v>
      </c>
      <c r="AH62" s="104">
        <f>VLOOKUP(28,$A$4:$AZ$32,34,FALSE)</f>
        <v>89</v>
      </c>
      <c r="AI62" s="104">
        <f>VLOOKUP(28,$A$4:$AZ$32,35,FALSE)</f>
        <v>100</v>
      </c>
    </row>
    <row r="63" spans="1:35" ht="12.75">
      <c r="A63">
        <v>29</v>
      </c>
      <c r="B63" s="78" t="s">
        <v>107</v>
      </c>
      <c r="C63" s="104">
        <f>VLOOKUP(29,$A$4:$AZ$32,3,FALSE)</f>
        <v>0</v>
      </c>
      <c r="D63" s="104">
        <f>VLOOKUP(29,$A$4:$AZ$32,4,FALSE)</f>
        <v>0</v>
      </c>
      <c r="E63" s="104">
        <f>VLOOKUP(29,$A$4:$AZ$32,5,FALSE)</f>
        <v>0</v>
      </c>
      <c r="F63" s="104">
        <f>VLOOKUP(29,$A$4:$AZ$32,6,FALSE)</f>
        <v>0</v>
      </c>
      <c r="G63" s="104">
        <f>VLOOKUP(29,$A$4:$AZ$32,7,FALSE)</f>
        <v>0</v>
      </c>
      <c r="H63" s="104">
        <f>VLOOKUP(29,$A$4:$AZ$32,8,FALSE)</f>
        <v>0</v>
      </c>
      <c r="I63" s="104">
        <f>VLOOKUP(29,$A$4:$AZ$32,9,FALSE)</f>
        <v>0</v>
      </c>
      <c r="J63" s="104">
        <f>VLOOKUP(29,$A$4:$AZ$32,10,FALSE)</f>
        <v>0</v>
      </c>
      <c r="K63" s="104">
        <f>VLOOKUP(29,$A$4:$AZ$32,11,FALSE)</f>
        <v>0</v>
      </c>
      <c r="L63" s="104">
        <f>VLOOKUP(29,$A$4:$AZ$32,12,FALSE)</f>
        <v>0</v>
      </c>
      <c r="M63" s="104">
        <f>VLOOKUP(29,$A$4:$AZ$32,13,FALSE)</f>
        <v>0</v>
      </c>
      <c r="N63" s="104">
        <f>VLOOKUP(29,$A$4:$AZ$32,14,FALSE)</f>
        <v>0</v>
      </c>
      <c r="O63" s="104">
        <f>VLOOKUP(29,$A$4:$AZ$32,15,FALSE)</f>
        <v>0</v>
      </c>
      <c r="P63" s="104">
        <f>VLOOKUP(29,$A$4:$AZ$32,16,FALSE)</f>
        <v>0</v>
      </c>
      <c r="Q63" s="104">
        <f>VLOOKUP(29,$A$4:$AZ$32,17,FALSE)</f>
        <v>0</v>
      </c>
      <c r="R63" s="104">
        <f>VLOOKUP(29,$A$4:$AZ$32,18,FALSE)</f>
        <v>0</v>
      </c>
      <c r="S63" s="104">
        <f>VLOOKUP(29,$A$4:$AZ$32,19,FALSE)</f>
        <v>0</v>
      </c>
      <c r="T63" s="104">
        <f>VLOOKUP(29,$A$4:$AZ$32,20,FALSE)</f>
        <v>0</v>
      </c>
      <c r="U63" s="104">
        <f>VLOOKUP(29,$A$4:$AZ$32,21,FALSE)</f>
        <v>0</v>
      </c>
      <c r="V63" s="104">
        <f>VLOOKUP(29,$A$4:$AZ$32,22,FALSE)</f>
        <v>0</v>
      </c>
      <c r="W63" s="104">
        <f>VLOOKUP(29,$A$4:$AZ$32,23,FALSE)</f>
        <v>0</v>
      </c>
      <c r="X63" s="104">
        <f>VLOOKUP(29,$A$4:$AZ$32,24,FALSE)</f>
        <v>0</v>
      </c>
      <c r="Y63" s="104">
        <f>VLOOKUP(29,$A$4:$AZ$32,25,FALSE)</f>
        <v>0</v>
      </c>
      <c r="Z63" s="104">
        <f>VLOOKUP(29,$A$4:$AZ$32,26,FALSE)</f>
        <v>0</v>
      </c>
      <c r="AA63" s="104">
        <f>VLOOKUP(29,$A$4:$AZ$32,27,FALSE)</f>
        <v>0</v>
      </c>
      <c r="AB63" s="104">
        <f>VLOOKUP(29,$A$4:$AZ$32,28,FALSE)</f>
        <v>0</v>
      </c>
      <c r="AC63" s="104">
        <f>VLOOKUP(29,$A$4:$AZ$32,29,FALSE)</f>
        <v>0</v>
      </c>
      <c r="AD63" s="104">
        <f>VLOOKUP(29,$A$4:$AZ$32,30,FALSE)</f>
        <v>0</v>
      </c>
      <c r="AE63" s="104">
        <f>VLOOKUP(29,$A$4:$AZ$32,31,FALSE)</f>
        <v>0</v>
      </c>
      <c r="AF63" s="104">
        <f>VLOOKUP(29,$A$4:$AZ$32,32,FALSE)</f>
        <v>0</v>
      </c>
      <c r="AG63" s="104">
        <f>VLOOKUP(29,$A$4:$AZ$32,33,FALSE)</f>
        <v>0</v>
      </c>
      <c r="AH63" s="104">
        <f>VLOOKUP(29,$A$4:$AZ$32,34,FALSE)</f>
        <v>0</v>
      </c>
      <c r="AI63" s="104">
        <f>VLOOKUP(29,$A$4:$AZ$32,35,FALSE)</f>
        <v>5</v>
      </c>
    </row>
    <row r="64" spans="2:24" ht="12.75">
      <c r="B64" s="44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</row>
    <row r="65" spans="2:35" ht="13.5" thickBot="1">
      <c r="B65" s="9" t="s">
        <v>0</v>
      </c>
      <c r="C65" s="12">
        <v>38108</v>
      </c>
      <c r="D65" s="12">
        <v>38139</v>
      </c>
      <c r="E65" s="12">
        <v>38169</v>
      </c>
      <c r="F65" s="12">
        <v>38200</v>
      </c>
      <c r="G65" s="12">
        <v>38231</v>
      </c>
      <c r="H65" s="12">
        <v>38261</v>
      </c>
      <c r="I65" s="12">
        <v>38292</v>
      </c>
      <c r="J65" s="12">
        <v>38322</v>
      </c>
      <c r="K65" s="12">
        <v>38353</v>
      </c>
      <c r="L65" s="12">
        <v>38384</v>
      </c>
      <c r="M65" s="12">
        <v>38412</v>
      </c>
      <c r="N65" s="12">
        <v>38443</v>
      </c>
      <c r="O65" s="12">
        <v>38473</v>
      </c>
      <c r="P65" s="12">
        <v>38504</v>
      </c>
      <c r="Q65" s="12">
        <v>38534</v>
      </c>
      <c r="R65" s="12">
        <v>38565</v>
      </c>
      <c r="S65" s="12">
        <v>38596</v>
      </c>
      <c r="T65" s="12">
        <v>38626</v>
      </c>
      <c r="U65" s="12">
        <v>38657</v>
      </c>
      <c r="V65" s="12">
        <v>38687</v>
      </c>
      <c r="W65" s="12">
        <v>38718</v>
      </c>
      <c r="X65" s="12">
        <v>38749</v>
      </c>
      <c r="Y65" s="12">
        <v>38777</v>
      </c>
      <c r="Z65" s="12">
        <v>38808</v>
      </c>
      <c r="AA65" s="12">
        <v>38838</v>
      </c>
      <c r="AB65" s="12">
        <v>38869</v>
      </c>
      <c r="AC65" s="12">
        <v>38899</v>
      </c>
      <c r="AD65" s="12">
        <v>38930</v>
      </c>
      <c r="AE65" s="12">
        <v>38961</v>
      </c>
      <c r="AF65" s="12">
        <v>38991</v>
      </c>
      <c r="AG65" s="12">
        <v>39022</v>
      </c>
      <c r="AH65" s="12">
        <v>39052</v>
      </c>
      <c r="AI65" s="12">
        <v>39083</v>
      </c>
    </row>
    <row r="66" spans="2:35" ht="13.5" thickTop="1">
      <c r="B66" s="99" t="s">
        <v>1</v>
      </c>
      <c r="C66" s="100">
        <f aca="true" t="shared" si="0" ref="C66:X77">IF(ISERROR(C35),0,C35)</f>
        <v>0</v>
      </c>
      <c r="D66" s="100">
        <f t="shared" si="0"/>
        <v>0</v>
      </c>
      <c r="E66" s="100">
        <f t="shared" si="0"/>
        <v>0</v>
      </c>
      <c r="F66" s="100">
        <f t="shared" si="0"/>
        <v>0</v>
      </c>
      <c r="G66" s="100">
        <f t="shared" si="0"/>
        <v>0</v>
      </c>
      <c r="H66" s="100">
        <f t="shared" si="0"/>
        <v>0</v>
      </c>
      <c r="I66" s="100">
        <f t="shared" si="0"/>
        <v>0</v>
      </c>
      <c r="J66" s="100">
        <f t="shared" si="0"/>
        <v>0</v>
      </c>
      <c r="K66" s="100">
        <f t="shared" si="0"/>
        <v>0</v>
      </c>
      <c r="L66" s="100">
        <f t="shared" si="0"/>
        <v>0</v>
      </c>
      <c r="M66" s="100">
        <f t="shared" si="0"/>
        <v>0</v>
      </c>
      <c r="N66" s="100">
        <f t="shared" si="0"/>
        <v>0</v>
      </c>
      <c r="O66" s="100">
        <f t="shared" si="0"/>
        <v>0</v>
      </c>
      <c r="P66" s="100">
        <f t="shared" si="0"/>
        <v>0</v>
      </c>
      <c r="Q66" s="100">
        <f t="shared" si="0"/>
        <v>0</v>
      </c>
      <c r="R66" s="100">
        <f t="shared" si="0"/>
        <v>0</v>
      </c>
      <c r="S66" s="100">
        <f t="shared" si="0"/>
        <v>0</v>
      </c>
      <c r="T66" s="100">
        <f t="shared" si="0"/>
        <v>0</v>
      </c>
      <c r="U66" s="100">
        <f t="shared" si="0"/>
        <v>0</v>
      </c>
      <c r="V66" s="100">
        <f t="shared" si="0"/>
        <v>2</v>
      </c>
      <c r="W66" s="100">
        <f t="shared" si="0"/>
        <v>4</v>
      </c>
      <c r="X66" s="100">
        <f t="shared" si="0"/>
        <v>1</v>
      </c>
      <c r="Y66" s="100">
        <f aca="true" t="shared" si="1" ref="Y66:AI81">IF(ISERROR(Y35),0,Y35)</f>
        <v>5</v>
      </c>
      <c r="Z66" s="100">
        <f t="shared" si="1"/>
        <v>6</v>
      </c>
      <c r="AA66" s="100">
        <f t="shared" si="1"/>
        <v>6</v>
      </c>
      <c r="AB66" s="100">
        <f t="shared" si="1"/>
        <v>6</v>
      </c>
      <c r="AC66" s="100">
        <f t="shared" si="1"/>
        <v>7</v>
      </c>
      <c r="AD66" s="100">
        <f t="shared" si="1"/>
        <v>9</v>
      </c>
      <c r="AE66" s="100">
        <f t="shared" si="1"/>
        <v>8</v>
      </c>
      <c r="AF66" s="100">
        <f t="shared" si="1"/>
        <v>8</v>
      </c>
      <c r="AG66" s="100">
        <f t="shared" si="1"/>
        <v>8</v>
      </c>
      <c r="AH66" s="100">
        <f t="shared" si="1"/>
        <v>6</v>
      </c>
      <c r="AI66" s="100">
        <f t="shared" si="1"/>
        <v>12</v>
      </c>
    </row>
    <row r="67" spans="2:35" ht="12.75">
      <c r="B67" s="101" t="s">
        <v>2</v>
      </c>
      <c r="C67" s="100">
        <f t="shared" si="0"/>
        <v>524</v>
      </c>
      <c r="D67" s="100">
        <f t="shared" si="0"/>
        <v>589</v>
      </c>
      <c r="E67" s="100">
        <f t="shared" si="0"/>
        <v>551</v>
      </c>
      <c r="F67" s="100">
        <f t="shared" si="0"/>
        <v>567</v>
      </c>
      <c r="G67" s="100">
        <f t="shared" si="0"/>
        <v>532</v>
      </c>
      <c r="H67" s="100">
        <f t="shared" si="0"/>
        <v>541</v>
      </c>
      <c r="I67" s="100">
        <f t="shared" si="0"/>
        <v>551</v>
      </c>
      <c r="J67" s="100">
        <f t="shared" si="0"/>
        <v>541</v>
      </c>
      <c r="K67" s="100">
        <f t="shared" si="0"/>
        <v>515</v>
      </c>
      <c r="L67" s="100">
        <f t="shared" si="0"/>
        <v>498</v>
      </c>
      <c r="M67" s="100">
        <f t="shared" si="0"/>
        <v>549</v>
      </c>
      <c r="N67" s="100">
        <f t="shared" si="0"/>
        <v>546</v>
      </c>
      <c r="O67" s="100">
        <f t="shared" si="0"/>
        <v>562</v>
      </c>
      <c r="P67" s="100">
        <f t="shared" si="0"/>
        <v>561</v>
      </c>
      <c r="Q67" s="100">
        <f t="shared" si="0"/>
        <v>570</v>
      </c>
      <c r="R67" s="100">
        <f t="shared" si="0"/>
        <v>611</v>
      </c>
      <c r="S67" s="100">
        <f t="shared" si="0"/>
        <v>595</v>
      </c>
      <c r="T67" s="100">
        <f t="shared" si="0"/>
        <v>571</v>
      </c>
      <c r="U67" s="100">
        <f t="shared" si="0"/>
        <v>633</v>
      </c>
      <c r="V67" s="100">
        <f t="shared" si="0"/>
        <v>652</v>
      </c>
      <c r="W67" s="100">
        <f t="shared" si="0"/>
        <v>629</v>
      </c>
      <c r="X67" s="100">
        <f t="shared" si="0"/>
        <v>612</v>
      </c>
      <c r="Y67" s="100">
        <f t="shared" si="1"/>
        <v>643</v>
      </c>
      <c r="Z67" s="100">
        <f t="shared" si="1"/>
        <v>582</v>
      </c>
      <c r="AA67" s="100">
        <f t="shared" si="1"/>
        <v>658</v>
      </c>
      <c r="AB67" s="100">
        <f t="shared" si="1"/>
        <v>644</v>
      </c>
      <c r="AC67" s="100">
        <f t="shared" si="1"/>
        <v>631</v>
      </c>
      <c r="AD67" s="100">
        <f t="shared" si="1"/>
        <v>624</v>
      </c>
      <c r="AE67" s="100">
        <f t="shared" si="1"/>
        <v>611</v>
      </c>
      <c r="AF67" s="100">
        <f t="shared" si="1"/>
        <v>630</v>
      </c>
      <c r="AG67" s="100">
        <f t="shared" si="1"/>
        <v>620</v>
      </c>
      <c r="AH67" s="100">
        <f t="shared" si="1"/>
        <v>616</v>
      </c>
      <c r="AI67" s="100">
        <f t="shared" si="1"/>
        <v>657</v>
      </c>
    </row>
    <row r="68" spans="2:35" ht="12.75">
      <c r="B68" s="101" t="s">
        <v>3</v>
      </c>
      <c r="C68" s="100">
        <f t="shared" si="0"/>
        <v>50</v>
      </c>
      <c r="D68" s="100">
        <f t="shared" si="0"/>
        <v>66</v>
      </c>
      <c r="E68" s="100">
        <f t="shared" si="0"/>
        <v>69</v>
      </c>
      <c r="F68" s="100">
        <f t="shared" si="0"/>
        <v>64</v>
      </c>
      <c r="G68" s="100">
        <f t="shared" si="0"/>
        <v>77</v>
      </c>
      <c r="H68" s="100">
        <f t="shared" si="0"/>
        <v>70</v>
      </c>
      <c r="I68" s="100">
        <f t="shared" si="0"/>
        <v>76</v>
      </c>
      <c r="J68" s="100">
        <f t="shared" si="0"/>
        <v>82</v>
      </c>
      <c r="K68" s="100">
        <f t="shared" si="0"/>
        <v>78</v>
      </c>
      <c r="L68" s="100">
        <f t="shared" si="0"/>
        <v>76</v>
      </c>
      <c r="M68" s="100">
        <f t="shared" si="0"/>
        <v>87</v>
      </c>
      <c r="N68" s="100">
        <f t="shared" si="0"/>
        <v>86</v>
      </c>
      <c r="O68" s="100">
        <f t="shared" si="0"/>
        <v>93</v>
      </c>
      <c r="P68" s="100">
        <f t="shared" si="0"/>
        <v>90</v>
      </c>
      <c r="Q68" s="100">
        <f t="shared" si="0"/>
        <v>92</v>
      </c>
      <c r="R68" s="100">
        <f t="shared" si="0"/>
        <v>89</v>
      </c>
      <c r="S68" s="100">
        <f t="shared" si="0"/>
        <v>95</v>
      </c>
      <c r="T68" s="100">
        <f t="shared" si="0"/>
        <v>100</v>
      </c>
      <c r="U68" s="100">
        <f t="shared" si="0"/>
        <v>102</v>
      </c>
      <c r="V68" s="100">
        <f t="shared" si="0"/>
        <v>103</v>
      </c>
      <c r="W68" s="100">
        <f t="shared" si="0"/>
        <v>95</v>
      </c>
      <c r="X68" s="100">
        <f t="shared" si="0"/>
        <v>91</v>
      </c>
      <c r="Y68" s="100">
        <f t="shared" si="1"/>
        <v>97</v>
      </c>
      <c r="Z68" s="100">
        <f t="shared" si="1"/>
        <v>98</v>
      </c>
      <c r="AA68" s="100">
        <f t="shared" si="1"/>
        <v>101</v>
      </c>
      <c r="AB68" s="100">
        <f t="shared" si="1"/>
        <v>96</v>
      </c>
      <c r="AC68" s="100">
        <f t="shared" si="1"/>
        <v>96</v>
      </c>
      <c r="AD68" s="100">
        <f t="shared" si="1"/>
        <v>95</v>
      </c>
      <c r="AE68" s="100">
        <f t="shared" si="1"/>
        <v>98</v>
      </c>
      <c r="AF68" s="100">
        <f t="shared" si="1"/>
        <v>104</v>
      </c>
      <c r="AG68" s="100">
        <f t="shared" si="1"/>
        <v>93</v>
      </c>
      <c r="AH68" s="100">
        <f t="shared" si="1"/>
        <v>103</v>
      </c>
      <c r="AI68" s="100">
        <f t="shared" si="1"/>
        <v>109</v>
      </c>
    </row>
    <row r="69" spans="2:35" ht="12.75">
      <c r="B69" s="101" t="s">
        <v>74</v>
      </c>
      <c r="C69" s="100">
        <f t="shared" si="0"/>
        <v>0</v>
      </c>
      <c r="D69" s="100">
        <f t="shared" si="0"/>
        <v>0</v>
      </c>
      <c r="E69" s="100">
        <f t="shared" si="0"/>
        <v>0</v>
      </c>
      <c r="F69" s="100">
        <f t="shared" si="0"/>
        <v>0</v>
      </c>
      <c r="G69" s="100">
        <f t="shared" si="0"/>
        <v>0</v>
      </c>
      <c r="H69" s="100">
        <f t="shared" si="0"/>
        <v>0</v>
      </c>
      <c r="I69" s="100">
        <f t="shared" si="0"/>
        <v>0</v>
      </c>
      <c r="J69" s="100">
        <f t="shared" si="0"/>
        <v>0</v>
      </c>
      <c r="K69" s="100">
        <f t="shared" si="0"/>
        <v>0</v>
      </c>
      <c r="L69" s="100">
        <f t="shared" si="0"/>
        <v>0</v>
      </c>
      <c r="M69" s="100">
        <f t="shared" si="0"/>
        <v>0</v>
      </c>
      <c r="N69" s="100">
        <f t="shared" si="0"/>
        <v>0</v>
      </c>
      <c r="O69" s="100">
        <f t="shared" si="0"/>
        <v>0</v>
      </c>
      <c r="P69" s="100">
        <f t="shared" si="0"/>
        <v>0</v>
      </c>
      <c r="Q69" s="100">
        <f t="shared" si="0"/>
        <v>0</v>
      </c>
      <c r="R69" s="100">
        <f t="shared" si="0"/>
        <v>0</v>
      </c>
      <c r="S69" s="100">
        <f t="shared" si="0"/>
        <v>0</v>
      </c>
      <c r="T69" s="100">
        <f t="shared" si="0"/>
        <v>0</v>
      </c>
      <c r="U69" s="100">
        <f t="shared" si="0"/>
        <v>0</v>
      </c>
      <c r="V69" s="100">
        <f t="shared" si="0"/>
        <v>0</v>
      </c>
      <c r="W69" s="100">
        <f t="shared" si="0"/>
        <v>0</v>
      </c>
      <c r="X69" s="100">
        <f t="shared" si="0"/>
        <v>0</v>
      </c>
      <c r="Y69" s="100">
        <f t="shared" si="1"/>
        <v>0</v>
      </c>
      <c r="Z69" s="100">
        <f t="shared" si="1"/>
        <v>0</v>
      </c>
      <c r="AA69" s="100">
        <f t="shared" si="1"/>
        <v>0</v>
      </c>
      <c r="AB69" s="100">
        <f t="shared" si="1"/>
        <v>0</v>
      </c>
      <c r="AC69" s="100">
        <f t="shared" si="1"/>
        <v>0</v>
      </c>
      <c r="AD69" s="100">
        <f t="shared" si="1"/>
        <v>0</v>
      </c>
      <c r="AE69" s="100">
        <f t="shared" si="1"/>
        <v>0</v>
      </c>
      <c r="AF69" s="100">
        <f t="shared" si="1"/>
        <v>1</v>
      </c>
      <c r="AG69" s="100">
        <f t="shared" si="1"/>
        <v>0</v>
      </c>
      <c r="AH69" s="100">
        <f t="shared" si="1"/>
        <v>0</v>
      </c>
      <c r="AI69" s="100">
        <f t="shared" si="1"/>
        <v>1</v>
      </c>
    </row>
    <row r="70" spans="2:35" ht="12.75">
      <c r="B70" s="101" t="s">
        <v>4</v>
      </c>
      <c r="C70" s="100">
        <f t="shared" si="0"/>
        <v>885</v>
      </c>
      <c r="D70" s="100">
        <f t="shared" si="0"/>
        <v>980</v>
      </c>
      <c r="E70" s="100">
        <f t="shared" si="0"/>
        <v>960</v>
      </c>
      <c r="F70" s="100">
        <f t="shared" si="0"/>
        <v>962</v>
      </c>
      <c r="G70" s="100">
        <f t="shared" si="0"/>
        <v>927</v>
      </c>
      <c r="H70" s="100">
        <f t="shared" si="0"/>
        <v>948</v>
      </c>
      <c r="I70" s="100">
        <f t="shared" si="0"/>
        <v>981</v>
      </c>
      <c r="J70" s="100">
        <f t="shared" si="0"/>
        <v>995</v>
      </c>
      <c r="K70" s="100">
        <f t="shared" si="0"/>
        <v>994</v>
      </c>
      <c r="L70" s="100">
        <f t="shared" si="0"/>
        <v>886</v>
      </c>
      <c r="M70" s="100">
        <f t="shared" si="0"/>
        <v>1017</v>
      </c>
      <c r="N70" s="100">
        <f t="shared" si="0"/>
        <v>949</v>
      </c>
      <c r="O70" s="100">
        <f t="shared" si="0"/>
        <v>960</v>
      </c>
      <c r="P70" s="100">
        <f t="shared" si="0"/>
        <v>946</v>
      </c>
      <c r="Q70" s="100">
        <f t="shared" si="0"/>
        <v>905</v>
      </c>
      <c r="R70" s="100">
        <f t="shared" si="0"/>
        <v>895</v>
      </c>
      <c r="S70" s="100">
        <f t="shared" si="0"/>
        <v>883</v>
      </c>
      <c r="T70" s="100">
        <f t="shared" si="0"/>
        <v>861</v>
      </c>
      <c r="U70" s="100">
        <f t="shared" si="0"/>
        <v>882</v>
      </c>
      <c r="V70" s="100">
        <f t="shared" si="0"/>
        <v>897</v>
      </c>
      <c r="W70" s="100">
        <f t="shared" si="0"/>
        <v>878</v>
      </c>
      <c r="X70" s="100">
        <f t="shared" si="0"/>
        <v>852</v>
      </c>
      <c r="Y70" s="100">
        <f t="shared" si="1"/>
        <v>880</v>
      </c>
      <c r="Z70" s="100">
        <f t="shared" si="1"/>
        <v>802</v>
      </c>
      <c r="AA70" s="100">
        <f t="shared" si="1"/>
        <v>856</v>
      </c>
      <c r="AB70" s="100">
        <f t="shared" si="1"/>
        <v>812</v>
      </c>
      <c r="AC70" s="100">
        <f t="shared" si="1"/>
        <v>756</v>
      </c>
      <c r="AD70" s="100">
        <f t="shared" si="1"/>
        <v>838</v>
      </c>
      <c r="AE70" s="100">
        <f t="shared" si="1"/>
        <v>781</v>
      </c>
      <c r="AF70" s="100">
        <f t="shared" si="1"/>
        <v>844</v>
      </c>
      <c r="AG70" s="100">
        <f t="shared" si="1"/>
        <v>822</v>
      </c>
      <c r="AH70" s="100">
        <f t="shared" si="1"/>
        <v>779</v>
      </c>
      <c r="AI70" s="100">
        <f t="shared" si="1"/>
        <v>887</v>
      </c>
    </row>
    <row r="71" spans="2:35" ht="12.75">
      <c r="B71" s="101" t="s">
        <v>5</v>
      </c>
      <c r="C71" s="100">
        <f t="shared" si="0"/>
        <v>292</v>
      </c>
      <c r="D71" s="100">
        <f t="shared" si="0"/>
        <v>334</v>
      </c>
      <c r="E71" s="100">
        <f t="shared" si="0"/>
        <v>363</v>
      </c>
      <c r="F71" s="100">
        <f t="shared" si="0"/>
        <v>339</v>
      </c>
      <c r="G71" s="100">
        <f t="shared" si="0"/>
        <v>339</v>
      </c>
      <c r="H71" s="100">
        <f t="shared" si="0"/>
        <v>355</v>
      </c>
      <c r="I71" s="100">
        <f t="shared" si="0"/>
        <v>388</v>
      </c>
      <c r="J71" s="100">
        <f t="shared" si="0"/>
        <v>375</v>
      </c>
      <c r="K71" s="100">
        <f t="shared" si="0"/>
        <v>345</v>
      </c>
      <c r="L71" s="100">
        <f t="shared" si="0"/>
        <v>321</v>
      </c>
      <c r="M71" s="100">
        <f t="shared" si="0"/>
        <v>371</v>
      </c>
      <c r="N71" s="100">
        <f t="shared" si="0"/>
        <v>370</v>
      </c>
      <c r="O71" s="100">
        <f t="shared" si="0"/>
        <v>387</v>
      </c>
      <c r="P71" s="100">
        <f t="shared" si="0"/>
        <v>393</v>
      </c>
      <c r="Q71" s="100">
        <f t="shared" si="0"/>
        <v>361</v>
      </c>
      <c r="R71" s="100">
        <f t="shared" si="0"/>
        <v>383</v>
      </c>
      <c r="S71" s="100">
        <f t="shared" si="0"/>
        <v>352</v>
      </c>
      <c r="T71" s="100">
        <f t="shared" si="0"/>
        <v>352</v>
      </c>
      <c r="U71" s="100">
        <f t="shared" si="0"/>
        <v>370</v>
      </c>
      <c r="V71" s="100">
        <f t="shared" si="0"/>
        <v>368</v>
      </c>
      <c r="W71" s="100">
        <f t="shared" si="0"/>
        <v>351</v>
      </c>
      <c r="X71" s="100">
        <f t="shared" si="0"/>
        <v>341</v>
      </c>
      <c r="Y71" s="100">
        <f t="shared" si="1"/>
        <v>357</v>
      </c>
      <c r="Z71" s="100">
        <f t="shared" si="1"/>
        <v>308</v>
      </c>
      <c r="AA71" s="100">
        <f t="shared" si="1"/>
        <v>360</v>
      </c>
      <c r="AB71" s="100">
        <f t="shared" si="1"/>
        <v>339</v>
      </c>
      <c r="AC71" s="100">
        <f t="shared" si="1"/>
        <v>355</v>
      </c>
      <c r="AD71" s="100">
        <f t="shared" si="1"/>
        <v>343</v>
      </c>
      <c r="AE71" s="100">
        <f t="shared" si="1"/>
        <v>337</v>
      </c>
      <c r="AF71" s="100">
        <f t="shared" si="1"/>
        <v>353</v>
      </c>
      <c r="AG71" s="100">
        <f t="shared" si="1"/>
        <v>337</v>
      </c>
      <c r="AH71" s="100">
        <f t="shared" si="1"/>
        <v>328</v>
      </c>
      <c r="AI71" s="100">
        <f t="shared" si="1"/>
        <v>367</v>
      </c>
    </row>
    <row r="72" spans="2:35" ht="12.75">
      <c r="B72" s="101" t="s">
        <v>53</v>
      </c>
      <c r="C72" s="100">
        <f t="shared" si="0"/>
        <v>0</v>
      </c>
      <c r="D72" s="100">
        <f t="shared" si="0"/>
        <v>0</v>
      </c>
      <c r="E72" s="100">
        <f t="shared" si="0"/>
        <v>0</v>
      </c>
      <c r="F72" s="100">
        <f t="shared" si="0"/>
        <v>0</v>
      </c>
      <c r="G72" s="100">
        <f t="shared" si="0"/>
        <v>0</v>
      </c>
      <c r="H72" s="100">
        <f t="shared" si="0"/>
        <v>0</v>
      </c>
      <c r="I72" s="100">
        <f t="shared" si="0"/>
        <v>0</v>
      </c>
      <c r="J72" s="100">
        <f t="shared" si="0"/>
        <v>0</v>
      </c>
      <c r="K72" s="100">
        <f t="shared" si="0"/>
        <v>0</v>
      </c>
      <c r="L72" s="100">
        <f t="shared" si="0"/>
        <v>0</v>
      </c>
      <c r="M72" s="100">
        <f t="shared" si="0"/>
        <v>0</v>
      </c>
      <c r="N72" s="100">
        <f t="shared" si="0"/>
        <v>0</v>
      </c>
      <c r="O72" s="100">
        <f t="shared" si="0"/>
        <v>0</v>
      </c>
      <c r="P72" s="100">
        <f t="shared" si="0"/>
        <v>0</v>
      </c>
      <c r="Q72" s="100">
        <f t="shared" si="0"/>
        <v>0</v>
      </c>
      <c r="R72" s="100">
        <f t="shared" si="0"/>
        <v>0</v>
      </c>
      <c r="S72" s="100">
        <f t="shared" si="0"/>
        <v>0</v>
      </c>
      <c r="T72" s="100">
        <f t="shared" si="0"/>
        <v>0</v>
      </c>
      <c r="U72" s="100">
        <f t="shared" si="0"/>
        <v>0</v>
      </c>
      <c r="V72" s="100">
        <f t="shared" si="0"/>
        <v>0</v>
      </c>
      <c r="W72" s="100">
        <f t="shared" si="0"/>
        <v>0</v>
      </c>
      <c r="X72" s="100">
        <f t="shared" si="0"/>
        <v>0</v>
      </c>
      <c r="Y72" s="100">
        <f t="shared" si="1"/>
        <v>0</v>
      </c>
      <c r="Z72" s="100">
        <f t="shared" si="1"/>
        <v>0</v>
      </c>
      <c r="AA72" s="100">
        <f t="shared" si="1"/>
        <v>0</v>
      </c>
      <c r="AB72" s="100">
        <f t="shared" si="1"/>
        <v>5</v>
      </c>
      <c r="AC72" s="100">
        <f t="shared" si="1"/>
        <v>7</v>
      </c>
      <c r="AD72" s="100">
        <f t="shared" si="1"/>
        <v>12</v>
      </c>
      <c r="AE72" s="100">
        <f t="shared" si="1"/>
        <v>12</v>
      </c>
      <c r="AF72" s="100">
        <f t="shared" si="1"/>
        <v>25</v>
      </c>
      <c r="AG72" s="100">
        <f t="shared" si="1"/>
        <v>24</v>
      </c>
      <c r="AH72" s="100">
        <f t="shared" si="1"/>
        <v>34</v>
      </c>
      <c r="AI72" s="100">
        <f t="shared" si="1"/>
        <v>40</v>
      </c>
    </row>
    <row r="73" spans="2:35" ht="12.75">
      <c r="B73" s="101" t="s">
        <v>6</v>
      </c>
      <c r="C73" s="100">
        <f t="shared" si="0"/>
        <v>46</v>
      </c>
      <c r="D73" s="100">
        <f t="shared" si="0"/>
        <v>49</v>
      </c>
      <c r="E73" s="100">
        <f t="shared" si="0"/>
        <v>43</v>
      </c>
      <c r="F73" s="100">
        <f t="shared" si="0"/>
        <v>52</v>
      </c>
      <c r="G73" s="100">
        <f t="shared" si="0"/>
        <v>42</v>
      </c>
      <c r="H73" s="100">
        <f t="shared" si="0"/>
        <v>48</v>
      </c>
      <c r="I73" s="100">
        <f t="shared" si="0"/>
        <v>44</v>
      </c>
      <c r="J73" s="100">
        <f t="shared" si="0"/>
        <v>48</v>
      </c>
      <c r="K73" s="100">
        <f t="shared" si="0"/>
        <v>46</v>
      </c>
      <c r="L73" s="100">
        <f t="shared" si="0"/>
        <v>54</v>
      </c>
      <c r="M73" s="100">
        <f t="shared" si="0"/>
        <v>45</v>
      </c>
      <c r="N73" s="100">
        <f t="shared" si="0"/>
        <v>46</v>
      </c>
      <c r="O73" s="100">
        <f t="shared" si="0"/>
        <v>55</v>
      </c>
      <c r="P73" s="100">
        <f t="shared" si="0"/>
        <v>57</v>
      </c>
      <c r="Q73" s="100">
        <f t="shared" si="0"/>
        <v>39</v>
      </c>
      <c r="R73" s="100">
        <f t="shared" si="0"/>
        <v>58</v>
      </c>
      <c r="S73" s="100">
        <f t="shared" si="0"/>
        <v>53</v>
      </c>
      <c r="T73" s="100">
        <f t="shared" si="0"/>
        <v>52</v>
      </c>
      <c r="U73" s="100">
        <f t="shared" si="0"/>
        <v>51</v>
      </c>
      <c r="V73" s="100">
        <f t="shared" si="0"/>
        <v>62</v>
      </c>
      <c r="W73" s="100">
        <f t="shared" si="0"/>
        <v>65</v>
      </c>
      <c r="X73" s="100">
        <f t="shared" si="0"/>
        <v>61</v>
      </c>
      <c r="Y73" s="100">
        <f t="shared" si="1"/>
        <v>63</v>
      </c>
      <c r="Z73" s="100">
        <f t="shared" si="1"/>
        <v>49</v>
      </c>
      <c r="AA73" s="100">
        <f t="shared" si="1"/>
        <v>65</v>
      </c>
      <c r="AB73" s="100">
        <f t="shared" si="1"/>
        <v>54</v>
      </c>
      <c r="AC73" s="100">
        <f t="shared" si="1"/>
        <v>52</v>
      </c>
      <c r="AD73" s="100">
        <f t="shared" si="1"/>
        <v>57</v>
      </c>
      <c r="AE73" s="100">
        <f t="shared" si="1"/>
        <v>59</v>
      </c>
      <c r="AF73" s="100">
        <f t="shared" si="1"/>
        <v>61</v>
      </c>
      <c r="AG73" s="100">
        <f t="shared" si="1"/>
        <v>56</v>
      </c>
      <c r="AH73" s="100">
        <f t="shared" si="1"/>
        <v>49</v>
      </c>
      <c r="AI73" s="100">
        <f t="shared" si="1"/>
        <v>49</v>
      </c>
    </row>
    <row r="74" spans="2:35" ht="12.75">
      <c r="B74" s="101" t="s">
        <v>7</v>
      </c>
      <c r="C74" s="100">
        <f t="shared" si="0"/>
        <v>109</v>
      </c>
      <c r="D74" s="100">
        <f t="shared" si="0"/>
        <v>118</v>
      </c>
      <c r="E74" s="100">
        <f t="shared" si="0"/>
        <v>123</v>
      </c>
      <c r="F74" s="100">
        <f t="shared" si="0"/>
        <v>106</v>
      </c>
      <c r="G74" s="100">
        <f t="shared" si="0"/>
        <v>103</v>
      </c>
      <c r="H74" s="100">
        <f t="shared" si="0"/>
        <v>110</v>
      </c>
      <c r="I74" s="100">
        <f t="shared" si="0"/>
        <v>108</v>
      </c>
      <c r="J74" s="100">
        <f t="shared" si="0"/>
        <v>104</v>
      </c>
      <c r="K74" s="100">
        <f t="shared" si="0"/>
        <v>112</v>
      </c>
      <c r="L74" s="100">
        <f t="shared" si="0"/>
        <v>108</v>
      </c>
      <c r="M74" s="100">
        <f t="shared" si="0"/>
        <v>108</v>
      </c>
      <c r="N74" s="100">
        <f t="shared" si="0"/>
        <v>131</v>
      </c>
      <c r="O74" s="100">
        <f t="shared" si="0"/>
        <v>106</v>
      </c>
      <c r="P74" s="100">
        <f t="shared" si="0"/>
        <v>110</v>
      </c>
      <c r="Q74" s="100">
        <f t="shared" si="0"/>
        <v>113</v>
      </c>
      <c r="R74" s="100">
        <f t="shared" si="0"/>
        <v>114</v>
      </c>
      <c r="S74" s="100">
        <f t="shared" si="0"/>
        <v>97</v>
      </c>
      <c r="T74" s="100">
        <f t="shared" si="0"/>
        <v>104</v>
      </c>
      <c r="U74" s="100">
        <f t="shared" si="0"/>
        <v>114</v>
      </c>
      <c r="V74" s="100">
        <f t="shared" si="0"/>
        <v>106</v>
      </c>
      <c r="W74" s="100">
        <f t="shared" si="0"/>
        <v>110</v>
      </c>
      <c r="X74" s="100">
        <f t="shared" si="0"/>
        <v>84</v>
      </c>
      <c r="Y74" s="100">
        <f t="shared" si="1"/>
        <v>104</v>
      </c>
      <c r="Z74" s="100">
        <f t="shared" si="1"/>
        <v>94</v>
      </c>
      <c r="AA74" s="100">
        <f t="shared" si="1"/>
        <v>99</v>
      </c>
      <c r="AB74" s="100">
        <f t="shared" si="1"/>
        <v>97</v>
      </c>
      <c r="AC74" s="100">
        <f t="shared" si="1"/>
        <v>96</v>
      </c>
      <c r="AD74" s="100">
        <f t="shared" si="1"/>
        <v>92</v>
      </c>
      <c r="AE74" s="100">
        <f t="shared" si="1"/>
        <v>97</v>
      </c>
      <c r="AF74" s="100">
        <f t="shared" si="1"/>
        <v>107</v>
      </c>
      <c r="AG74" s="100">
        <f t="shared" si="1"/>
        <v>98</v>
      </c>
      <c r="AH74" s="100">
        <f t="shared" si="1"/>
        <v>91</v>
      </c>
      <c r="AI74" s="100">
        <f t="shared" si="1"/>
        <v>95</v>
      </c>
    </row>
    <row r="75" spans="2:35" ht="12.75">
      <c r="B75" s="101" t="s">
        <v>8</v>
      </c>
      <c r="C75" s="100">
        <f t="shared" si="0"/>
        <v>60</v>
      </c>
      <c r="D75" s="100">
        <f t="shared" si="0"/>
        <v>69</v>
      </c>
      <c r="E75" s="100">
        <f t="shared" si="0"/>
        <v>65</v>
      </c>
      <c r="F75" s="100">
        <f t="shared" si="0"/>
        <v>63</v>
      </c>
      <c r="G75" s="100">
        <f t="shared" si="0"/>
        <v>65</v>
      </c>
      <c r="H75" s="100">
        <f t="shared" si="0"/>
        <v>65</v>
      </c>
      <c r="I75" s="100">
        <f t="shared" si="0"/>
        <v>62</v>
      </c>
      <c r="J75" s="100">
        <f t="shared" si="0"/>
        <v>71</v>
      </c>
      <c r="K75" s="100">
        <f t="shared" si="0"/>
        <v>69</v>
      </c>
      <c r="L75" s="100">
        <f t="shared" si="0"/>
        <v>73</v>
      </c>
      <c r="M75" s="100">
        <f t="shared" si="0"/>
        <v>72</v>
      </c>
      <c r="N75" s="100">
        <f t="shared" si="0"/>
        <v>73</v>
      </c>
      <c r="O75" s="100">
        <f t="shared" si="0"/>
        <v>71</v>
      </c>
      <c r="P75" s="100">
        <f t="shared" si="0"/>
        <v>72</v>
      </c>
      <c r="Q75" s="100">
        <f t="shared" si="0"/>
        <v>65</v>
      </c>
      <c r="R75" s="100">
        <f t="shared" si="0"/>
        <v>65</v>
      </c>
      <c r="S75" s="100">
        <f t="shared" si="0"/>
        <v>69</v>
      </c>
      <c r="T75" s="100">
        <f t="shared" si="0"/>
        <v>69</v>
      </c>
      <c r="U75" s="100">
        <f t="shared" si="0"/>
        <v>65</v>
      </c>
      <c r="V75" s="100">
        <f t="shared" si="0"/>
        <v>67</v>
      </c>
      <c r="W75" s="100">
        <f t="shared" si="0"/>
        <v>71</v>
      </c>
      <c r="X75" s="100">
        <f t="shared" si="0"/>
        <v>65</v>
      </c>
      <c r="Y75" s="100">
        <f t="shared" si="1"/>
        <v>67</v>
      </c>
      <c r="Z75" s="100">
        <f t="shared" si="1"/>
        <v>53</v>
      </c>
      <c r="AA75" s="100">
        <f t="shared" si="1"/>
        <v>66</v>
      </c>
      <c r="AB75" s="100">
        <f t="shared" si="1"/>
        <v>67</v>
      </c>
      <c r="AC75" s="100">
        <f t="shared" si="1"/>
        <v>60</v>
      </c>
      <c r="AD75" s="100">
        <f t="shared" si="1"/>
        <v>70</v>
      </c>
      <c r="AE75" s="100">
        <f t="shared" si="1"/>
        <v>64</v>
      </c>
      <c r="AF75" s="100">
        <f t="shared" si="1"/>
        <v>58</v>
      </c>
      <c r="AG75" s="100">
        <f t="shared" si="1"/>
        <v>63</v>
      </c>
      <c r="AH75" s="100">
        <f t="shared" si="1"/>
        <v>58</v>
      </c>
      <c r="AI75" s="100">
        <f t="shared" si="1"/>
        <v>67</v>
      </c>
    </row>
    <row r="76" spans="2:35" ht="12.75">
      <c r="B76" s="101" t="s">
        <v>9</v>
      </c>
      <c r="C76" s="100">
        <f t="shared" si="0"/>
        <v>439</v>
      </c>
      <c r="D76" s="100">
        <f t="shared" si="0"/>
        <v>509</v>
      </c>
      <c r="E76" s="100">
        <f t="shared" si="0"/>
        <v>483</v>
      </c>
      <c r="F76" s="100">
        <f t="shared" si="0"/>
        <v>472</v>
      </c>
      <c r="G76" s="100">
        <f t="shared" si="0"/>
        <v>487</v>
      </c>
      <c r="H76" s="100">
        <f t="shared" si="0"/>
        <v>487</v>
      </c>
      <c r="I76" s="100">
        <f t="shared" si="0"/>
        <v>515</v>
      </c>
      <c r="J76" s="100">
        <f t="shared" si="0"/>
        <v>517</v>
      </c>
      <c r="K76" s="100">
        <f t="shared" si="0"/>
        <v>516</v>
      </c>
      <c r="L76" s="100">
        <f t="shared" si="0"/>
        <v>501</v>
      </c>
      <c r="M76" s="100">
        <f t="shared" si="0"/>
        <v>533</v>
      </c>
      <c r="N76" s="100">
        <f t="shared" si="0"/>
        <v>548</v>
      </c>
      <c r="O76" s="100">
        <f t="shared" si="0"/>
        <v>561</v>
      </c>
      <c r="P76" s="100">
        <f t="shared" si="0"/>
        <v>542</v>
      </c>
      <c r="Q76" s="100">
        <f t="shared" si="0"/>
        <v>514</v>
      </c>
      <c r="R76" s="100">
        <f t="shared" si="0"/>
        <v>496</v>
      </c>
      <c r="S76" s="100">
        <f t="shared" si="0"/>
        <v>531</v>
      </c>
      <c r="T76" s="100">
        <f t="shared" si="0"/>
        <v>507</v>
      </c>
      <c r="U76" s="100">
        <f t="shared" si="0"/>
        <v>531</v>
      </c>
      <c r="V76" s="100">
        <f t="shared" si="0"/>
        <v>497</v>
      </c>
      <c r="W76" s="100">
        <f t="shared" si="0"/>
        <v>501</v>
      </c>
      <c r="X76" s="100">
        <f t="shared" si="0"/>
        <v>481</v>
      </c>
      <c r="Y76" s="100">
        <f t="shared" si="1"/>
        <v>531</v>
      </c>
      <c r="Z76" s="100">
        <f t="shared" si="1"/>
        <v>472</v>
      </c>
      <c r="AA76" s="100">
        <f t="shared" si="1"/>
        <v>538</v>
      </c>
      <c r="AB76" s="100">
        <f t="shared" si="1"/>
        <v>528</v>
      </c>
      <c r="AC76" s="100">
        <f t="shared" si="1"/>
        <v>507</v>
      </c>
      <c r="AD76" s="100">
        <f t="shared" si="1"/>
        <v>527</v>
      </c>
      <c r="AE76" s="100">
        <f t="shared" si="1"/>
        <v>509</v>
      </c>
      <c r="AF76" s="100">
        <f t="shared" si="1"/>
        <v>519</v>
      </c>
      <c r="AG76" s="100">
        <f t="shared" si="1"/>
        <v>500</v>
      </c>
      <c r="AH76" s="100">
        <f t="shared" si="1"/>
        <v>493</v>
      </c>
      <c r="AI76" s="100">
        <f t="shared" si="1"/>
        <v>551</v>
      </c>
    </row>
    <row r="77" spans="2:35" ht="12.75">
      <c r="B77" s="101" t="s">
        <v>10</v>
      </c>
      <c r="C77" s="100">
        <f t="shared" si="0"/>
        <v>158</v>
      </c>
      <c r="D77" s="100">
        <f t="shared" si="0"/>
        <v>161</v>
      </c>
      <c r="E77" s="100">
        <f t="shared" si="0"/>
        <v>151</v>
      </c>
      <c r="F77" s="100">
        <f t="shared" si="0"/>
        <v>170</v>
      </c>
      <c r="G77" s="100">
        <f t="shared" si="0"/>
        <v>174</v>
      </c>
      <c r="H77" s="100">
        <f t="shared" si="0"/>
        <v>168</v>
      </c>
      <c r="I77" s="100">
        <f t="shared" si="0"/>
        <v>179</v>
      </c>
      <c r="J77" s="100">
        <f t="shared" si="0"/>
        <v>201</v>
      </c>
      <c r="K77" s="100">
        <f t="shared" si="0"/>
        <v>203</v>
      </c>
      <c r="L77" s="100">
        <f t="shared" si="0"/>
        <v>187</v>
      </c>
      <c r="M77" s="100">
        <f t="shared" si="0"/>
        <v>204</v>
      </c>
      <c r="N77" s="100">
        <f t="shared" si="0"/>
        <v>215</v>
      </c>
      <c r="O77" s="100">
        <f t="shared" si="0"/>
        <v>203</v>
      </c>
      <c r="P77" s="100">
        <f aca="true" t="shared" si="2" ref="D77:X89">IF(ISERROR(P46),0,P46)</f>
        <v>223</v>
      </c>
      <c r="Q77" s="100">
        <f t="shared" si="2"/>
        <v>205</v>
      </c>
      <c r="R77" s="100">
        <f t="shared" si="2"/>
        <v>214</v>
      </c>
      <c r="S77" s="100">
        <f t="shared" si="2"/>
        <v>207</v>
      </c>
      <c r="T77" s="100">
        <f t="shared" si="2"/>
        <v>187</v>
      </c>
      <c r="U77" s="100">
        <f t="shared" si="2"/>
        <v>193</v>
      </c>
      <c r="V77" s="100">
        <f t="shared" si="2"/>
        <v>193</v>
      </c>
      <c r="W77" s="100">
        <f t="shared" si="2"/>
        <v>220</v>
      </c>
      <c r="X77" s="100">
        <f t="shared" si="2"/>
        <v>183</v>
      </c>
      <c r="Y77" s="100">
        <f t="shared" si="1"/>
        <v>200</v>
      </c>
      <c r="Z77" s="100">
        <f t="shared" si="1"/>
        <v>176</v>
      </c>
      <c r="AA77" s="100">
        <f t="shared" si="1"/>
        <v>196</v>
      </c>
      <c r="AB77" s="100">
        <f t="shared" si="1"/>
        <v>188</v>
      </c>
      <c r="AC77" s="100">
        <f t="shared" si="1"/>
        <v>177</v>
      </c>
      <c r="AD77" s="100">
        <f t="shared" si="1"/>
        <v>188</v>
      </c>
      <c r="AE77" s="100">
        <f t="shared" si="1"/>
        <v>197</v>
      </c>
      <c r="AF77" s="100">
        <f t="shared" si="1"/>
        <v>199</v>
      </c>
      <c r="AG77" s="100">
        <f t="shared" si="1"/>
        <v>196</v>
      </c>
      <c r="AH77" s="100">
        <f t="shared" si="1"/>
        <v>197</v>
      </c>
      <c r="AI77" s="100">
        <f t="shared" si="1"/>
        <v>213</v>
      </c>
    </row>
    <row r="78" spans="2:35" ht="12.75">
      <c r="B78" s="101" t="s">
        <v>11</v>
      </c>
      <c r="C78" s="100">
        <f aca="true" t="shared" si="3" ref="C78:C93">IF(ISERROR(C47),0,C47)</f>
        <v>182</v>
      </c>
      <c r="D78" s="100">
        <f t="shared" si="2"/>
        <v>184</v>
      </c>
      <c r="E78" s="100">
        <f t="shared" si="2"/>
        <v>174</v>
      </c>
      <c r="F78" s="100">
        <f t="shared" si="2"/>
        <v>184</v>
      </c>
      <c r="G78" s="100">
        <f t="shared" si="2"/>
        <v>178</v>
      </c>
      <c r="H78" s="100">
        <f t="shared" si="2"/>
        <v>168</v>
      </c>
      <c r="I78" s="100">
        <f t="shared" si="2"/>
        <v>179</v>
      </c>
      <c r="J78" s="100">
        <f t="shared" si="2"/>
        <v>175</v>
      </c>
      <c r="K78" s="100">
        <f t="shared" si="2"/>
        <v>178</v>
      </c>
      <c r="L78" s="100">
        <f t="shared" si="2"/>
        <v>161</v>
      </c>
      <c r="M78" s="100">
        <f t="shared" si="2"/>
        <v>188</v>
      </c>
      <c r="N78" s="100">
        <f t="shared" si="2"/>
        <v>175</v>
      </c>
      <c r="O78" s="100">
        <f t="shared" si="2"/>
        <v>183</v>
      </c>
      <c r="P78" s="100">
        <f t="shared" si="2"/>
        <v>184</v>
      </c>
      <c r="Q78" s="100">
        <f t="shared" si="2"/>
        <v>171</v>
      </c>
      <c r="R78" s="100">
        <f t="shared" si="2"/>
        <v>180</v>
      </c>
      <c r="S78" s="100">
        <f t="shared" si="2"/>
        <v>174</v>
      </c>
      <c r="T78" s="100">
        <f t="shared" si="2"/>
        <v>169</v>
      </c>
      <c r="U78" s="100">
        <f t="shared" si="2"/>
        <v>178</v>
      </c>
      <c r="V78" s="100">
        <f t="shared" si="2"/>
        <v>166</v>
      </c>
      <c r="W78" s="100">
        <f t="shared" si="2"/>
        <v>182</v>
      </c>
      <c r="X78" s="100">
        <f t="shared" si="2"/>
        <v>176</v>
      </c>
      <c r="Y78" s="100">
        <f t="shared" si="1"/>
        <v>176</v>
      </c>
      <c r="Z78" s="100">
        <f t="shared" si="1"/>
        <v>167</v>
      </c>
      <c r="AA78" s="100">
        <f t="shared" si="1"/>
        <v>173</v>
      </c>
      <c r="AB78" s="100">
        <f t="shared" si="1"/>
        <v>179</v>
      </c>
      <c r="AC78" s="100">
        <f t="shared" si="1"/>
        <v>181</v>
      </c>
      <c r="AD78" s="100">
        <f t="shared" si="1"/>
        <v>180</v>
      </c>
      <c r="AE78" s="100">
        <f t="shared" si="1"/>
        <v>170</v>
      </c>
      <c r="AF78" s="100">
        <f t="shared" si="1"/>
        <v>162</v>
      </c>
      <c r="AG78" s="100">
        <f t="shared" si="1"/>
        <v>155</v>
      </c>
      <c r="AH78" s="100">
        <f t="shared" si="1"/>
        <v>170</v>
      </c>
      <c r="AI78" s="100">
        <f t="shared" si="1"/>
        <v>185</v>
      </c>
    </row>
    <row r="79" spans="2:35" ht="12.75">
      <c r="B79" s="101" t="s">
        <v>12</v>
      </c>
      <c r="C79" s="100">
        <f t="shared" si="3"/>
        <v>3</v>
      </c>
      <c r="D79" s="100">
        <f t="shared" si="2"/>
        <v>8</v>
      </c>
      <c r="E79" s="100">
        <f t="shared" si="2"/>
        <v>6</v>
      </c>
      <c r="F79" s="100">
        <f t="shared" si="2"/>
        <v>7</v>
      </c>
      <c r="G79" s="100">
        <f t="shared" si="2"/>
        <v>10</v>
      </c>
      <c r="H79" s="100">
        <f t="shared" si="2"/>
        <v>8</v>
      </c>
      <c r="I79" s="100">
        <f t="shared" si="2"/>
        <v>10</v>
      </c>
      <c r="J79" s="100">
        <f t="shared" si="2"/>
        <v>7</v>
      </c>
      <c r="K79" s="100">
        <f t="shared" si="2"/>
        <v>10</v>
      </c>
      <c r="L79" s="100">
        <f t="shared" si="2"/>
        <v>11</v>
      </c>
      <c r="M79" s="100">
        <f t="shared" si="2"/>
        <v>12</v>
      </c>
      <c r="N79" s="100">
        <f t="shared" si="2"/>
        <v>17</v>
      </c>
      <c r="O79" s="100">
        <f t="shared" si="2"/>
        <v>15</v>
      </c>
      <c r="P79" s="100">
        <f t="shared" si="2"/>
        <v>10</v>
      </c>
      <c r="Q79" s="100">
        <f t="shared" si="2"/>
        <v>13</v>
      </c>
      <c r="R79" s="100">
        <f t="shared" si="2"/>
        <v>15</v>
      </c>
      <c r="S79" s="100">
        <f t="shared" si="2"/>
        <v>13</v>
      </c>
      <c r="T79" s="100">
        <f t="shared" si="2"/>
        <v>11</v>
      </c>
      <c r="U79" s="100">
        <f t="shared" si="2"/>
        <v>15</v>
      </c>
      <c r="V79" s="100">
        <f t="shared" si="2"/>
        <v>10</v>
      </c>
      <c r="W79" s="100">
        <f t="shared" si="2"/>
        <v>8</v>
      </c>
      <c r="X79" s="100">
        <f t="shared" si="2"/>
        <v>12</v>
      </c>
      <c r="Y79" s="100">
        <f t="shared" si="1"/>
        <v>6</v>
      </c>
      <c r="Z79" s="100">
        <f t="shared" si="1"/>
        <v>12</v>
      </c>
      <c r="AA79" s="100">
        <f t="shared" si="1"/>
        <v>9</v>
      </c>
      <c r="AB79" s="100">
        <f t="shared" si="1"/>
        <v>12</v>
      </c>
      <c r="AC79" s="100">
        <f t="shared" si="1"/>
        <v>10</v>
      </c>
      <c r="AD79" s="100">
        <f t="shared" si="1"/>
        <v>13</v>
      </c>
      <c r="AE79" s="100">
        <f t="shared" si="1"/>
        <v>14</v>
      </c>
      <c r="AF79" s="100">
        <f t="shared" si="1"/>
        <v>18</v>
      </c>
      <c r="AG79" s="100">
        <f t="shared" si="1"/>
        <v>17</v>
      </c>
      <c r="AH79" s="100">
        <f t="shared" si="1"/>
        <v>17</v>
      </c>
      <c r="AI79" s="100">
        <f t="shared" si="1"/>
        <v>28</v>
      </c>
    </row>
    <row r="80" spans="2:35" ht="12.75">
      <c r="B80" s="101" t="s">
        <v>13</v>
      </c>
      <c r="C80" s="100">
        <f t="shared" si="3"/>
        <v>0</v>
      </c>
      <c r="D80" s="100">
        <f t="shared" si="2"/>
        <v>0</v>
      </c>
      <c r="E80" s="100">
        <f t="shared" si="2"/>
        <v>0</v>
      </c>
      <c r="F80" s="100">
        <f t="shared" si="2"/>
        <v>0</v>
      </c>
      <c r="G80" s="100">
        <f t="shared" si="2"/>
        <v>0</v>
      </c>
      <c r="H80" s="100">
        <f t="shared" si="2"/>
        <v>0</v>
      </c>
      <c r="I80" s="100">
        <f t="shared" si="2"/>
        <v>0</v>
      </c>
      <c r="J80" s="100">
        <f t="shared" si="2"/>
        <v>0</v>
      </c>
      <c r="K80" s="100">
        <f t="shared" si="2"/>
        <v>0</v>
      </c>
      <c r="L80" s="100">
        <f t="shared" si="2"/>
        <v>0</v>
      </c>
      <c r="M80" s="100">
        <f t="shared" si="2"/>
        <v>0</v>
      </c>
      <c r="N80" s="100">
        <f t="shared" si="2"/>
        <v>0</v>
      </c>
      <c r="O80" s="100">
        <f t="shared" si="2"/>
        <v>0</v>
      </c>
      <c r="P80" s="100">
        <f t="shared" si="2"/>
        <v>0</v>
      </c>
      <c r="Q80" s="100">
        <f t="shared" si="2"/>
        <v>0</v>
      </c>
      <c r="R80" s="100">
        <f t="shared" si="2"/>
        <v>0</v>
      </c>
      <c r="S80" s="100">
        <f t="shared" si="2"/>
        <v>0</v>
      </c>
      <c r="T80" s="100">
        <f t="shared" si="2"/>
        <v>0</v>
      </c>
      <c r="U80" s="100">
        <f t="shared" si="2"/>
        <v>0</v>
      </c>
      <c r="V80" s="100">
        <f t="shared" si="2"/>
        <v>0</v>
      </c>
      <c r="W80" s="100">
        <f t="shared" si="2"/>
        <v>0</v>
      </c>
      <c r="X80" s="100">
        <f t="shared" si="2"/>
        <v>34</v>
      </c>
      <c r="Y80" s="100">
        <f t="shared" si="1"/>
        <v>73</v>
      </c>
      <c r="Z80" s="100">
        <f t="shared" si="1"/>
        <v>96</v>
      </c>
      <c r="AA80" s="100">
        <f t="shared" si="1"/>
        <v>127</v>
      </c>
      <c r="AB80" s="100">
        <f t="shared" si="1"/>
        <v>136</v>
      </c>
      <c r="AC80" s="100">
        <f t="shared" si="1"/>
        <v>148</v>
      </c>
      <c r="AD80" s="100">
        <f t="shared" si="1"/>
        <v>144</v>
      </c>
      <c r="AE80" s="100">
        <f t="shared" si="1"/>
        <v>163</v>
      </c>
      <c r="AF80" s="100">
        <f t="shared" si="1"/>
        <v>191</v>
      </c>
      <c r="AG80" s="100">
        <f t="shared" si="1"/>
        <v>214</v>
      </c>
      <c r="AH80" s="100">
        <f t="shared" si="1"/>
        <v>193</v>
      </c>
      <c r="AI80" s="100">
        <f t="shared" si="1"/>
        <v>230</v>
      </c>
    </row>
    <row r="81" spans="2:35" ht="12.75">
      <c r="B81" s="101" t="s">
        <v>14</v>
      </c>
      <c r="C81" s="100">
        <f t="shared" si="3"/>
        <v>59</v>
      </c>
      <c r="D81" s="100">
        <f t="shared" si="2"/>
        <v>105</v>
      </c>
      <c r="E81" s="100">
        <f t="shared" si="2"/>
        <v>124</v>
      </c>
      <c r="F81" s="100">
        <f t="shared" si="2"/>
        <v>113</v>
      </c>
      <c r="G81" s="100">
        <f t="shared" si="2"/>
        <v>123</v>
      </c>
      <c r="H81" s="100">
        <f t="shared" si="2"/>
        <v>130</v>
      </c>
      <c r="I81" s="100">
        <f t="shared" si="2"/>
        <v>132</v>
      </c>
      <c r="J81" s="100">
        <f t="shared" si="2"/>
        <v>107</v>
      </c>
      <c r="K81" s="100">
        <f t="shared" si="2"/>
        <v>129</v>
      </c>
      <c r="L81" s="100">
        <f t="shared" si="2"/>
        <v>118</v>
      </c>
      <c r="M81" s="100">
        <f t="shared" si="2"/>
        <v>147</v>
      </c>
      <c r="N81" s="100">
        <f t="shared" si="2"/>
        <v>160</v>
      </c>
      <c r="O81" s="100">
        <f t="shared" si="2"/>
        <v>178</v>
      </c>
      <c r="P81" s="100">
        <f t="shared" si="2"/>
        <v>192</v>
      </c>
      <c r="Q81" s="100">
        <f t="shared" si="2"/>
        <v>168</v>
      </c>
      <c r="R81" s="100">
        <f t="shared" si="2"/>
        <v>182</v>
      </c>
      <c r="S81" s="100">
        <f t="shared" si="2"/>
        <v>182</v>
      </c>
      <c r="T81" s="100">
        <f t="shared" si="2"/>
        <v>199</v>
      </c>
      <c r="U81" s="100">
        <f t="shared" si="2"/>
        <v>196</v>
      </c>
      <c r="V81" s="100">
        <f t="shared" si="2"/>
        <v>195</v>
      </c>
      <c r="W81" s="100">
        <f t="shared" si="2"/>
        <v>208</v>
      </c>
      <c r="X81" s="100">
        <f t="shared" si="2"/>
        <v>217</v>
      </c>
      <c r="Y81" s="100">
        <f t="shared" si="1"/>
        <v>231</v>
      </c>
      <c r="Z81" s="100">
        <f t="shared" si="1"/>
        <v>212</v>
      </c>
      <c r="AA81" s="100">
        <f t="shared" si="1"/>
        <v>223</v>
      </c>
      <c r="AB81" s="100">
        <f t="shared" si="1"/>
        <v>243</v>
      </c>
      <c r="AC81" s="100">
        <f t="shared" si="1"/>
        <v>214</v>
      </c>
      <c r="AD81" s="100">
        <f t="shared" si="1"/>
        <v>229</v>
      </c>
      <c r="AE81" s="100">
        <f t="shared" si="1"/>
        <v>227</v>
      </c>
      <c r="AF81" s="100">
        <f t="shared" si="1"/>
        <v>253</v>
      </c>
      <c r="AG81" s="100">
        <f t="shared" si="1"/>
        <v>232</v>
      </c>
      <c r="AH81" s="100">
        <f t="shared" si="1"/>
        <v>233</v>
      </c>
      <c r="AI81" s="100">
        <f t="shared" si="1"/>
        <v>242</v>
      </c>
    </row>
    <row r="82" spans="2:35" ht="12.75">
      <c r="B82" s="101" t="s">
        <v>15</v>
      </c>
      <c r="C82" s="100">
        <f t="shared" si="3"/>
        <v>4</v>
      </c>
      <c r="D82" s="100">
        <f t="shared" si="2"/>
        <v>9</v>
      </c>
      <c r="E82" s="100">
        <f t="shared" si="2"/>
        <v>9</v>
      </c>
      <c r="F82" s="100">
        <f t="shared" si="2"/>
        <v>9</v>
      </c>
      <c r="G82" s="100">
        <f t="shared" si="2"/>
        <v>14</v>
      </c>
      <c r="H82" s="100">
        <f t="shared" si="2"/>
        <v>16</v>
      </c>
      <c r="I82" s="100">
        <f t="shared" si="2"/>
        <v>21</v>
      </c>
      <c r="J82" s="100">
        <f t="shared" si="2"/>
        <v>15</v>
      </c>
      <c r="K82" s="100">
        <f t="shared" si="2"/>
        <v>14</v>
      </c>
      <c r="L82" s="100">
        <f t="shared" si="2"/>
        <v>19</v>
      </c>
      <c r="M82" s="100">
        <f t="shared" si="2"/>
        <v>25</v>
      </c>
      <c r="N82" s="100">
        <f t="shared" si="2"/>
        <v>19</v>
      </c>
      <c r="O82" s="100">
        <f t="shared" si="2"/>
        <v>19</v>
      </c>
      <c r="P82" s="100">
        <f t="shared" si="2"/>
        <v>20</v>
      </c>
      <c r="Q82" s="100">
        <f t="shared" si="2"/>
        <v>16</v>
      </c>
      <c r="R82" s="100">
        <f t="shared" si="2"/>
        <v>18</v>
      </c>
      <c r="S82" s="100">
        <f t="shared" si="2"/>
        <v>21</v>
      </c>
      <c r="T82" s="100">
        <f t="shared" si="2"/>
        <v>17</v>
      </c>
      <c r="U82" s="100">
        <f t="shared" si="2"/>
        <v>27</v>
      </c>
      <c r="V82" s="100">
        <f t="shared" si="2"/>
        <v>26</v>
      </c>
      <c r="W82" s="100">
        <f t="shared" si="2"/>
        <v>23</v>
      </c>
      <c r="X82" s="100">
        <f t="shared" si="2"/>
        <v>20</v>
      </c>
      <c r="Y82" s="100">
        <f aca="true" t="shared" si="4" ref="Y82:AI88">IF(ISERROR(Y51),0,Y51)</f>
        <v>27</v>
      </c>
      <c r="Z82" s="100">
        <f t="shared" si="4"/>
        <v>21</v>
      </c>
      <c r="AA82" s="100">
        <f t="shared" si="4"/>
        <v>28</v>
      </c>
      <c r="AB82" s="100">
        <f t="shared" si="4"/>
        <v>26</v>
      </c>
      <c r="AC82" s="100">
        <f t="shared" si="4"/>
        <v>23</v>
      </c>
      <c r="AD82" s="100">
        <f t="shared" si="4"/>
        <v>34</v>
      </c>
      <c r="AE82" s="100">
        <f t="shared" si="4"/>
        <v>24</v>
      </c>
      <c r="AF82" s="100">
        <f t="shared" si="4"/>
        <v>33</v>
      </c>
      <c r="AG82" s="100">
        <f t="shared" si="4"/>
        <v>28</v>
      </c>
      <c r="AH82" s="100">
        <f t="shared" si="4"/>
        <v>25</v>
      </c>
      <c r="AI82" s="100">
        <f t="shared" si="4"/>
        <v>30</v>
      </c>
    </row>
    <row r="83" spans="2:35" ht="12.75">
      <c r="B83" s="101" t="s">
        <v>16</v>
      </c>
      <c r="C83" s="100">
        <f t="shared" si="3"/>
        <v>0</v>
      </c>
      <c r="D83" s="100">
        <f t="shared" si="2"/>
        <v>0</v>
      </c>
      <c r="E83" s="100">
        <f t="shared" si="2"/>
        <v>0</v>
      </c>
      <c r="F83" s="100">
        <f t="shared" si="2"/>
        <v>0</v>
      </c>
      <c r="G83" s="100">
        <f t="shared" si="2"/>
        <v>0</v>
      </c>
      <c r="H83" s="100">
        <f t="shared" si="2"/>
        <v>0</v>
      </c>
      <c r="I83" s="100">
        <f t="shared" si="2"/>
        <v>0</v>
      </c>
      <c r="J83" s="100">
        <f t="shared" si="2"/>
        <v>0</v>
      </c>
      <c r="K83" s="100">
        <f t="shared" si="2"/>
        <v>5</v>
      </c>
      <c r="L83" s="100">
        <f t="shared" si="2"/>
        <v>13</v>
      </c>
      <c r="M83" s="100">
        <f t="shared" si="2"/>
        <v>30</v>
      </c>
      <c r="N83" s="100">
        <f t="shared" si="2"/>
        <v>42</v>
      </c>
      <c r="O83" s="100">
        <f t="shared" si="2"/>
        <v>45</v>
      </c>
      <c r="P83" s="100">
        <f t="shared" si="2"/>
        <v>75</v>
      </c>
      <c r="Q83" s="100">
        <f t="shared" si="2"/>
        <v>66</v>
      </c>
      <c r="R83" s="100">
        <f t="shared" si="2"/>
        <v>76</v>
      </c>
      <c r="S83" s="100">
        <f t="shared" si="2"/>
        <v>103</v>
      </c>
      <c r="T83" s="100">
        <f t="shared" si="2"/>
        <v>103</v>
      </c>
      <c r="U83" s="100">
        <f t="shared" si="2"/>
        <v>104</v>
      </c>
      <c r="V83" s="100">
        <f t="shared" si="2"/>
        <v>126</v>
      </c>
      <c r="W83" s="100">
        <f t="shared" si="2"/>
        <v>123</v>
      </c>
      <c r="X83" s="100">
        <f t="shared" si="2"/>
        <v>147</v>
      </c>
      <c r="Y83" s="100">
        <f t="shared" si="4"/>
        <v>150</v>
      </c>
      <c r="Z83" s="100">
        <f t="shared" si="4"/>
        <v>119</v>
      </c>
      <c r="AA83" s="100">
        <f t="shared" si="4"/>
        <v>142</v>
      </c>
      <c r="AB83" s="100">
        <f t="shared" si="4"/>
        <v>141</v>
      </c>
      <c r="AC83" s="100">
        <f t="shared" si="4"/>
        <v>141</v>
      </c>
      <c r="AD83" s="100">
        <f t="shared" si="4"/>
        <v>142</v>
      </c>
      <c r="AE83" s="100">
        <f t="shared" si="4"/>
        <v>140</v>
      </c>
      <c r="AF83" s="100">
        <f t="shared" si="4"/>
        <v>159</v>
      </c>
      <c r="AG83" s="100">
        <f t="shared" si="4"/>
        <v>154</v>
      </c>
      <c r="AH83" s="100">
        <f t="shared" si="4"/>
        <v>139</v>
      </c>
      <c r="AI83" s="100">
        <f t="shared" si="4"/>
        <v>161</v>
      </c>
    </row>
    <row r="84" spans="2:35" ht="12.75">
      <c r="B84" s="101" t="s">
        <v>17</v>
      </c>
      <c r="C84" s="100">
        <f t="shared" si="3"/>
        <v>0</v>
      </c>
      <c r="D84" s="100">
        <f t="shared" si="2"/>
        <v>0</v>
      </c>
      <c r="E84" s="100">
        <f t="shared" si="2"/>
        <v>0</v>
      </c>
      <c r="F84" s="100">
        <f t="shared" si="2"/>
        <v>0</v>
      </c>
      <c r="G84" s="100">
        <f t="shared" si="2"/>
        <v>0</v>
      </c>
      <c r="H84" s="100">
        <f t="shared" si="2"/>
        <v>0</v>
      </c>
      <c r="I84" s="100">
        <f t="shared" si="2"/>
        <v>0</v>
      </c>
      <c r="J84" s="100">
        <f t="shared" si="2"/>
        <v>0</v>
      </c>
      <c r="K84" s="100">
        <f t="shared" si="2"/>
        <v>0</v>
      </c>
      <c r="L84" s="100">
        <f t="shared" si="2"/>
        <v>0</v>
      </c>
      <c r="M84" s="100">
        <f t="shared" si="2"/>
        <v>0</v>
      </c>
      <c r="N84" s="100">
        <f t="shared" si="2"/>
        <v>0</v>
      </c>
      <c r="O84" s="100">
        <f t="shared" si="2"/>
        <v>0</v>
      </c>
      <c r="P84" s="100">
        <f t="shared" si="2"/>
        <v>0</v>
      </c>
      <c r="Q84" s="100">
        <f t="shared" si="2"/>
        <v>0</v>
      </c>
      <c r="R84" s="100">
        <f t="shared" si="2"/>
        <v>0</v>
      </c>
      <c r="S84" s="100">
        <f t="shared" si="2"/>
        <v>0</v>
      </c>
      <c r="T84" s="100">
        <f t="shared" si="2"/>
        <v>0</v>
      </c>
      <c r="U84" s="100">
        <f t="shared" si="2"/>
        <v>0</v>
      </c>
      <c r="V84" s="100">
        <f t="shared" si="2"/>
        <v>0</v>
      </c>
      <c r="W84" s="100">
        <f t="shared" si="2"/>
        <v>2</v>
      </c>
      <c r="X84" s="100">
        <f t="shared" si="2"/>
        <v>9</v>
      </c>
      <c r="Y84" s="100">
        <f t="shared" si="4"/>
        <v>23</v>
      </c>
      <c r="Z84" s="100">
        <f t="shared" si="4"/>
        <v>24</v>
      </c>
      <c r="AA84" s="100">
        <f t="shared" si="4"/>
        <v>27</v>
      </c>
      <c r="AB84" s="100">
        <f t="shared" si="4"/>
        <v>34</v>
      </c>
      <c r="AC84" s="100">
        <f t="shared" si="4"/>
        <v>34</v>
      </c>
      <c r="AD84" s="100">
        <f t="shared" si="4"/>
        <v>32</v>
      </c>
      <c r="AE84" s="100">
        <f t="shared" si="4"/>
        <v>34</v>
      </c>
      <c r="AF84" s="100">
        <f t="shared" si="4"/>
        <v>33</v>
      </c>
      <c r="AG84" s="100">
        <f t="shared" si="4"/>
        <v>35</v>
      </c>
      <c r="AH84" s="100">
        <f t="shared" si="4"/>
        <v>36</v>
      </c>
      <c r="AI84" s="100">
        <f t="shared" si="4"/>
        <v>45</v>
      </c>
    </row>
    <row r="85" spans="2:35" ht="12.75">
      <c r="B85" s="101" t="s">
        <v>18</v>
      </c>
      <c r="C85" s="100">
        <f t="shared" si="3"/>
        <v>0</v>
      </c>
      <c r="D85" s="100">
        <f t="shared" si="2"/>
        <v>0</v>
      </c>
      <c r="E85" s="100">
        <f t="shared" si="2"/>
        <v>0</v>
      </c>
      <c r="F85" s="100">
        <f t="shared" si="2"/>
        <v>0</v>
      </c>
      <c r="G85" s="100">
        <f t="shared" si="2"/>
        <v>0</v>
      </c>
      <c r="H85" s="100">
        <f t="shared" si="2"/>
        <v>0</v>
      </c>
      <c r="I85" s="100">
        <f t="shared" si="2"/>
        <v>0</v>
      </c>
      <c r="J85" s="100">
        <f t="shared" si="2"/>
        <v>0</v>
      </c>
      <c r="K85" s="100">
        <f t="shared" si="2"/>
        <v>0</v>
      </c>
      <c r="L85" s="100">
        <f t="shared" si="2"/>
        <v>0</v>
      </c>
      <c r="M85" s="100">
        <f t="shared" si="2"/>
        <v>0</v>
      </c>
      <c r="N85" s="100">
        <f t="shared" si="2"/>
        <v>0</v>
      </c>
      <c r="O85" s="100">
        <f t="shared" si="2"/>
        <v>0</v>
      </c>
      <c r="P85" s="100">
        <f t="shared" si="2"/>
        <v>0</v>
      </c>
      <c r="Q85" s="100">
        <f t="shared" si="2"/>
        <v>0</v>
      </c>
      <c r="R85" s="100">
        <f t="shared" si="2"/>
        <v>0</v>
      </c>
      <c r="S85" s="100">
        <f t="shared" si="2"/>
        <v>0</v>
      </c>
      <c r="T85" s="100">
        <f t="shared" si="2"/>
        <v>0</v>
      </c>
      <c r="U85" s="100">
        <f t="shared" si="2"/>
        <v>0</v>
      </c>
      <c r="V85" s="100">
        <f t="shared" si="2"/>
        <v>0</v>
      </c>
      <c r="W85" s="100">
        <f t="shared" si="2"/>
        <v>0</v>
      </c>
      <c r="X85" s="100">
        <f t="shared" si="2"/>
        <v>6</v>
      </c>
      <c r="Y85" s="100">
        <f t="shared" si="4"/>
        <v>9</v>
      </c>
      <c r="Z85" s="100">
        <f t="shared" si="4"/>
        <v>9</v>
      </c>
      <c r="AA85" s="100">
        <f t="shared" si="4"/>
        <v>20</v>
      </c>
      <c r="AB85" s="100">
        <f t="shared" si="4"/>
        <v>19</v>
      </c>
      <c r="AC85" s="100">
        <f t="shared" si="4"/>
        <v>23</v>
      </c>
      <c r="AD85" s="100">
        <f t="shared" si="4"/>
        <v>27</v>
      </c>
      <c r="AE85" s="100">
        <f t="shared" si="4"/>
        <v>31</v>
      </c>
      <c r="AF85" s="100">
        <f t="shared" si="4"/>
        <v>41</v>
      </c>
      <c r="AG85" s="100">
        <f t="shared" si="4"/>
        <v>30</v>
      </c>
      <c r="AH85" s="100">
        <f t="shared" si="4"/>
        <v>29</v>
      </c>
      <c r="AI85" s="100">
        <f t="shared" si="4"/>
        <v>33</v>
      </c>
    </row>
    <row r="86" spans="2:35" ht="12.75">
      <c r="B86" s="101" t="s">
        <v>19</v>
      </c>
      <c r="C86" s="100">
        <f t="shared" si="3"/>
        <v>5</v>
      </c>
      <c r="D86" s="100">
        <f t="shared" si="2"/>
        <v>11</v>
      </c>
      <c r="E86" s="100">
        <f t="shared" si="2"/>
        <v>8</v>
      </c>
      <c r="F86" s="100">
        <f t="shared" si="2"/>
        <v>6</v>
      </c>
      <c r="G86" s="100">
        <f t="shared" si="2"/>
        <v>7</v>
      </c>
      <c r="H86" s="100">
        <f t="shared" si="2"/>
        <v>11</v>
      </c>
      <c r="I86" s="100">
        <f t="shared" si="2"/>
        <v>13</v>
      </c>
      <c r="J86" s="100">
        <f t="shared" si="2"/>
        <v>10</v>
      </c>
      <c r="K86" s="100">
        <f t="shared" si="2"/>
        <v>12</v>
      </c>
      <c r="L86" s="100">
        <f t="shared" si="2"/>
        <v>9</v>
      </c>
      <c r="M86" s="100">
        <f t="shared" si="2"/>
        <v>10</v>
      </c>
      <c r="N86" s="100">
        <f t="shared" si="2"/>
        <v>9</v>
      </c>
      <c r="O86" s="100">
        <f t="shared" si="2"/>
        <v>15</v>
      </c>
      <c r="P86" s="100">
        <f t="shared" si="2"/>
        <v>11</v>
      </c>
      <c r="Q86" s="100">
        <f t="shared" si="2"/>
        <v>12</v>
      </c>
      <c r="R86" s="100">
        <f t="shared" si="2"/>
        <v>14</v>
      </c>
      <c r="S86" s="100">
        <f t="shared" si="2"/>
        <v>13</v>
      </c>
      <c r="T86" s="100">
        <f t="shared" si="2"/>
        <v>12</v>
      </c>
      <c r="U86" s="100">
        <f t="shared" si="2"/>
        <v>11</v>
      </c>
      <c r="V86" s="100">
        <f t="shared" si="2"/>
        <v>12</v>
      </c>
      <c r="W86" s="100">
        <f t="shared" si="2"/>
        <v>16</v>
      </c>
      <c r="X86" s="100">
        <f t="shared" si="2"/>
        <v>14</v>
      </c>
      <c r="Y86" s="100">
        <f t="shared" si="4"/>
        <v>10</v>
      </c>
      <c r="Z86" s="100">
        <f t="shared" si="4"/>
        <v>12</v>
      </c>
      <c r="AA86" s="100">
        <f t="shared" si="4"/>
        <v>11</v>
      </c>
      <c r="AB86" s="100">
        <f t="shared" si="4"/>
        <v>15</v>
      </c>
      <c r="AC86" s="100">
        <f t="shared" si="4"/>
        <v>12</v>
      </c>
      <c r="AD86" s="100">
        <f t="shared" si="4"/>
        <v>15</v>
      </c>
      <c r="AE86" s="100">
        <f t="shared" si="4"/>
        <v>16</v>
      </c>
      <c r="AF86" s="100">
        <f t="shared" si="4"/>
        <v>19</v>
      </c>
      <c r="AG86" s="100">
        <f t="shared" si="4"/>
        <v>17</v>
      </c>
      <c r="AH86" s="100">
        <f t="shared" si="4"/>
        <v>12</v>
      </c>
      <c r="AI86" s="100">
        <f t="shared" si="4"/>
        <v>14</v>
      </c>
    </row>
    <row r="87" spans="2:35" ht="12.75">
      <c r="B87" s="101" t="s">
        <v>20</v>
      </c>
      <c r="C87" s="100">
        <f t="shared" si="3"/>
        <v>68</v>
      </c>
      <c r="D87" s="100">
        <f t="shared" si="2"/>
        <v>83</v>
      </c>
      <c r="E87" s="100">
        <f t="shared" si="2"/>
        <v>68</v>
      </c>
      <c r="F87" s="100">
        <f t="shared" si="2"/>
        <v>76</v>
      </c>
      <c r="G87" s="100">
        <f t="shared" si="2"/>
        <v>81</v>
      </c>
      <c r="H87" s="100">
        <f t="shared" si="2"/>
        <v>67</v>
      </c>
      <c r="I87" s="100">
        <f t="shared" si="2"/>
        <v>78</v>
      </c>
      <c r="J87" s="100">
        <f t="shared" si="2"/>
        <v>73</v>
      </c>
      <c r="K87" s="100">
        <f t="shared" si="2"/>
        <v>75</v>
      </c>
      <c r="L87" s="100">
        <f t="shared" si="2"/>
        <v>65</v>
      </c>
      <c r="M87" s="100">
        <f t="shared" si="2"/>
        <v>85</v>
      </c>
      <c r="N87" s="100">
        <f t="shared" si="2"/>
        <v>72</v>
      </c>
      <c r="O87" s="100">
        <f t="shared" si="2"/>
        <v>83</v>
      </c>
      <c r="P87" s="100">
        <f t="shared" si="2"/>
        <v>68</v>
      </c>
      <c r="Q87" s="100">
        <f t="shared" si="2"/>
        <v>66</v>
      </c>
      <c r="R87" s="100">
        <f t="shared" si="2"/>
        <v>61</v>
      </c>
      <c r="S87" s="100">
        <f t="shared" si="2"/>
        <v>73</v>
      </c>
      <c r="T87" s="100">
        <f t="shared" si="2"/>
        <v>68</v>
      </c>
      <c r="U87" s="100">
        <f t="shared" si="2"/>
        <v>62</v>
      </c>
      <c r="V87" s="100">
        <f t="shared" si="2"/>
        <v>69</v>
      </c>
      <c r="W87" s="100">
        <f t="shared" si="2"/>
        <v>57</v>
      </c>
      <c r="X87" s="100">
        <f t="shared" si="2"/>
        <v>65</v>
      </c>
      <c r="Y87" s="100">
        <f t="shared" si="4"/>
        <v>66</v>
      </c>
      <c r="Z87" s="100">
        <f t="shared" si="4"/>
        <v>59</v>
      </c>
      <c r="AA87" s="100">
        <f t="shared" si="4"/>
        <v>69</v>
      </c>
      <c r="AB87" s="100">
        <f t="shared" si="4"/>
        <v>65</v>
      </c>
      <c r="AC87" s="100">
        <f t="shared" si="4"/>
        <v>60</v>
      </c>
      <c r="AD87" s="100">
        <f t="shared" si="4"/>
        <v>56</v>
      </c>
      <c r="AE87" s="100">
        <f t="shared" si="4"/>
        <v>67</v>
      </c>
      <c r="AF87" s="100">
        <f t="shared" si="4"/>
        <v>55</v>
      </c>
      <c r="AG87" s="100">
        <f t="shared" si="4"/>
        <v>67</v>
      </c>
      <c r="AH87" s="100">
        <f t="shared" si="4"/>
        <v>63</v>
      </c>
      <c r="AI87" s="100">
        <f t="shared" si="4"/>
        <v>60</v>
      </c>
    </row>
    <row r="88" spans="2:35" ht="12.75">
      <c r="B88" s="101" t="s">
        <v>21</v>
      </c>
      <c r="C88" s="100">
        <f t="shared" si="3"/>
        <v>30</v>
      </c>
      <c r="D88" s="100">
        <f t="shared" si="2"/>
        <v>39</v>
      </c>
      <c r="E88" s="100">
        <f t="shared" si="2"/>
        <v>45</v>
      </c>
      <c r="F88" s="100">
        <f t="shared" si="2"/>
        <v>29</v>
      </c>
      <c r="G88" s="100">
        <f t="shared" si="2"/>
        <v>34</v>
      </c>
      <c r="H88" s="100">
        <f t="shared" si="2"/>
        <v>26</v>
      </c>
      <c r="I88" s="100">
        <f t="shared" si="2"/>
        <v>29</v>
      </c>
      <c r="J88" s="100">
        <f t="shared" si="2"/>
        <v>28</v>
      </c>
      <c r="K88" s="100">
        <f t="shared" si="2"/>
        <v>30</v>
      </c>
      <c r="L88" s="100">
        <f t="shared" si="2"/>
        <v>30</v>
      </c>
      <c r="M88" s="100">
        <f t="shared" si="2"/>
        <v>32</v>
      </c>
      <c r="N88" s="100">
        <f t="shared" si="2"/>
        <v>29</v>
      </c>
      <c r="O88" s="100">
        <f t="shared" si="2"/>
        <v>31</v>
      </c>
      <c r="P88" s="100">
        <f t="shared" si="2"/>
        <v>27</v>
      </c>
      <c r="Q88" s="100">
        <f t="shared" si="2"/>
        <v>26</v>
      </c>
      <c r="R88" s="100">
        <f t="shared" si="2"/>
        <v>29</v>
      </c>
      <c r="S88" s="100">
        <f t="shared" si="2"/>
        <v>30</v>
      </c>
      <c r="T88" s="100">
        <f t="shared" si="2"/>
        <v>31</v>
      </c>
      <c r="U88" s="100">
        <f t="shared" si="2"/>
        <v>31</v>
      </c>
      <c r="V88" s="100">
        <f t="shared" si="2"/>
        <v>36</v>
      </c>
      <c r="W88" s="100">
        <f t="shared" si="2"/>
        <v>32</v>
      </c>
      <c r="X88" s="100">
        <f t="shared" si="2"/>
        <v>31</v>
      </c>
      <c r="Y88" s="100">
        <f t="shared" si="4"/>
        <v>28</v>
      </c>
      <c r="Z88" s="100">
        <f t="shared" si="4"/>
        <v>27</v>
      </c>
      <c r="AA88" s="100">
        <f t="shared" si="4"/>
        <v>28</v>
      </c>
      <c r="AB88" s="100">
        <f t="shared" si="4"/>
        <v>24</v>
      </c>
      <c r="AC88" s="100">
        <f t="shared" si="4"/>
        <v>24</v>
      </c>
      <c r="AD88" s="100">
        <f t="shared" si="4"/>
        <v>29</v>
      </c>
      <c r="AE88" s="100">
        <f t="shared" si="4"/>
        <v>21</v>
      </c>
      <c r="AF88" s="100">
        <f t="shared" si="4"/>
        <v>27</v>
      </c>
      <c r="AG88" s="100">
        <f t="shared" si="4"/>
        <v>25</v>
      </c>
      <c r="AH88" s="100">
        <f t="shared" si="4"/>
        <v>27</v>
      </c>
      <c r="AI88" s="100">
        <f t="shared" si="4"/>
        <v>27</v>
      </c>
    </row>
    <row r="89" spans="2:35" ht="12.75">
      <c r="B89" s="101" t="s">
        <v>22</v>
      </c>
      <c r="C89" s="100">
        <f t="shared" si="3"/>
        <v>15</v>
      </c>
      <c r="D89" s="100">
        <f t="shared" si="2"/>
        <v>13</v>
      </c>
      <c r="E89" s="100">
        <f t="shared" si="2"/>
        <v>11</v>
      </c>
      <c r="F89" s="100">
        <f t="shared" si="2"/>
        <v>14</v>
      </c>
      <c r="G89" s="100">
        <f t="shared" si="2"/>
        <v>15</v>
      </c>
      <c r="H89" s="100">
        <f t="shared" si="2"/>
        <v>18</v>
      </c>
      <c r="I89" s="100">
        <f t="shared" si="2"/>
        <v>15</v>
      </c>
      <c r="J89" s="100">
        <f t="shared" si="2"/>
        <v>15</v>
      </c>
      <c r="K89" s="100">
        <f t="shared" si="2"/>
        <v>17</v>
      </c>
      <c r="L89" s="100">
        <f t="shared" si="2"/>
        <v>17</v>
      </c>
      <c r="M89" s="100">
        <f t="shared" si="2"/>
        <v>12</v>
      </c>
      <c r="N89" s="100">
        <f t="shared" si="2"/>
        <v>15</v>
      </c>
      <c r="O89" s="100">
        <f t="shared" si="2"/>
        <v>12</v>
      </c>
      <c r="P89" s="100">
        <f t="shared" si="2"/>
        <v>12</v>
      </c>
      <c r="Q89" s="100">
        <f t="shared" si="2"/>
        <v>10</v>
      </c>
      <c r="R89" s="100">
        <f t="shared" si="2"/>
        <v>12</v>
      </c>
      <c r="S89" s="100">
        <f aca="true" t="shared" si="5" ref="D89:X94">IF(ISERROR(S58),0,S58)</f>
        <v>14</v>
      </c>
      <c r="T89" s="100">
        <f t="shared" si="5"/>
        <v>12</v>
      </c>
      <c r="U89" s="100">
        <f t="shared" si="5"/>
        <v>17</v>
      </c>
      <c r="V89" s="100">
        <f t="shared" si="5"/>
        <v>13</v>
      </c>
      <c r="W89" s="100">
        <f t="shared" si="5"/>
        <v>13</v>
      </c>
      <c r="X89" s="100">
        <f t="shared" si="5"/>
        <v>11</v>
      </c>
      <c r="Y89" s="100">
        <f aca="true" t="shared" si="6" ref="Y89:AI89">IF(ISERROR(Y58),0,Y58)</f>
        <v>13</v>
      </c>
      <c r="Z89" s="100">
        <f t="shared" si="6"/>
        <v>14</v>
      </c>
      <c r="AA89" s="100">
        <f t="shared" si="6"/>
        <v>17</v>
      </c>
      <c r="AB89" s="100">
        <f t="shared" si="6"/>
        <v>16</v>
      </c>
      <c r="AC89" s="100">
        <f t="shared" si="6"/>
        <v>15</v>
      </c>
      <c r="AD89" s="100">
        <f t="shared" si="6"/>
        <v>15</v>
      </c>
      <c r="AE89" s="100">
        <f t="shared" si="6"/>
        <v>16</v>
      </c>
      <c r="AF89" s="100">
        <f t="shared" si="6"/>
        <v>14</v>
      </c>
      <c r="AG89" s="100">
        <f t="shared" si="6"/>
        <v>11</v>
      </c>
      <c r="AH89" s="100">
        <f t="shared" si="6"/>
        <v>16</v>
      </c>
      <c r="AI89" s="100">
        <f t="shared" si="6"/>
        <v>19</v>
      </c>
    </row>
    <row r="90" spans="2:35" ht="12.75">
      <c r="B90" s="101" t="s">
        <v>23</v>
      </c>
      <c r="C90" s="100">
        <f t="shared" si="3"/>
        <v>0</v>
      </c>
      <c r="D90" s="100">
        <f t="shared" si="5"/>
        <v>0</v>
      </c>
      <c r="E90" s="100">
        <f t="shared" si="5"/>
        <v>0</v>
      </c>
      <c r="F90" s="100">
        <f t="shared" si="5"/>
        <v>0</v>
      </c>
      <c r="G90" s="100">
        <f t="shared" si="5"/>
        <v>0</v>
      </c>
      <c r="H90" s="100">
        <f t="shared" si="5"/>
        <v>0</v>
      </c>
      <c r="I90" s="100">
        <f t="shared" si="5"/>
        <v>0</v>
      </c>
      <c r="J90" s="100">
        <f t="shared" si="5"/>
        <v>0</v>
      </c>
      <c r="K90" s="100">
        <f t="shared" si="5"/>
        <v>0</v>
      </c>
      <c r="L90" s="100">
        <f t="shared" si="5"/>
        <v>0</v>
      </c>
      <c r="M90" s="100">
        <f t="shared" si="5"/>
        <v>0</v>
      </c>
      <c r="N90" s="100">
        <f t="shared" si="5"/>
        <v>0</v>
      </c>
      <c r="O90" s="100">
        <f t="shared" si="5"/>
        <v>0</v>
      </c>
      <c r="P90" s="100">
        <f t="shared" si="5"/>
        <v>0</v>
      </c>
      <c r="Q90" s="100">
        <f t="shared" si="5"/>
        <v>0</v>
      </c>
      <c r="R90" s="100">
        <f t="shared" si="5"/>
        <v>0</v>
      </c>
      <c r="S90" s="100">
        <f t="shared" si="5"/>
        <v>0</v>
      </c>
      <c r="T90" s="100">
        <f t="shared" si="5"/>
        <v>0</v>
      </c>
      <c r="U90" s="100">
        <f t="shared" si="5"/>
        <v>0</v>
      </c>
      <c r="V90" s="100">
        <f t="shared" si="5"/>
        <v>0</v>
      </c>
      <c r="W90" s="100">
        <f t="shared" si="5"/>
        <v>0</v>
      </c>
      <c r="X90" s="100">
        <f t="shared" si="5"/>
        <v>0</v>
      </c>
      <c r="Y90" s="100">
        <f aca="true" t="shared" si="7" ref="Y90:AI90">IF(ISERROR(Y59),0,Y59)</f>
        <v>47</v>
      </c>
      <c r="Z90" s="100">
        <f t="shared" si="7"/>
        <v>91</v>
      </c>
      <c r="AA90" s="100">
        <f t="shared" si="7"/>
        <v>144</v>
      </c>
      <c r="AB90" s="100">
        <f t="shared" si="7"/>
        <v>188</v>
      </c>
      <c r="AC90" s="100">
        <f t="shared" si="7"/>
        <v>199</v>
      </c>
      <c r="AD90" s="100">
        <f t="shared" si="7"/>
        <v>227</v>
      </c>
      <c r="AE90" s="100">
        <f t="shared" si="7"/>
        <v>232</v>
      </c>
      <c r="AF90" s="100">
        <f t="shared" si="7"/>
        <v>245</v>
      </c>
      <c r="AG90" s="100">
        <f t="shared" si="7"/>
        <v>254</v>
      </c>
      <c r="AH90" s="100">
        <f t="shared" si="7"/>
        <v>264</v>
      </c>
      <c r="AI90" s="100">
        <f t="shared" si="7"/>
        <v>293</v>
      </c>
    </row>
    <row r="91" spans="2:35" ht="12.75">
      <c r="B91" s="101" t="s">
        <v>24</v>
      </c>
      <c r="C91" s="100">
        <f t="shared" si="3"/>
        <v>431</v>
      </c>
      <c r="D91" s="100">
        <f t="shared" si="5"/>
        <v>503</v>
      </c>
      <c r="E91" s="100">
        <f t="shared" si="5"/>
        <v>459</v>
      </c>
      <c r="F91" s="100">
        <f t="shared" si="5"/>
        <v>501</v>
      </c>
      <c r="G91" s="100">
        <f t="shared" si="5"/>
        <v>489</v>
      </c>
      <c r="H91" s="100">
        <f t="shared" si="5"/>
        <v>486</v>
      </c>
      <c r="I91" s="100">
        <f t="shared" si="5"/>
        <v>537</v>
      </c>
      <c r="J91" s="100">
        <f t="shared" si="5"/>
        <v>528</v>
      </c>
      <c r="K91" s="100">
        <f t="shared" si="5"/>
        <v>534</v>
      </c>
      <c r="L91" s="100">
        <f t="shared" si="5"/>
        <v>520</v>
      </c>
      <c r="M91" s="100">
        <f t="shared" si="5"/>
        <v>579</v>
      </c>
      <c r="N91" s="100">
        <f t="shared" si="5"/>
        <v>550</v>
      </c>
      <c r="O91" s="100">
        <f t="shared" si="5"/>
        <v>569</v>
      </c>
      <c r="P91" s="100">
        <f t="shared" si="5"/>
        <v>547</v>
      </c>
      <c r="Q91" s="100">
        <f t="shared" si="5"/>
        <v>532</v>
      </c>
      <c r="R91" s="100">
        <f t="shared" si="5"/>
        <v>547</v>
      </c>
      <c r="S91" s="100">
        <f t="shared" si="5"/>
        <v>533</v>
      </c>
      <c r="T91" s="100">
        <f t="shared" si="5"/>
        <v>529</v>
      </c>
      <c r="U91" s="100">
        <f t="shared" si="5"/>
        <v>569</v>
      </c>
      <c r="V91" s="100">
        <f t="shared" si="5"/>
        <v>537</v>
      </c>
      <c r="W91" s="100">
        <f t="shared" si="5"/>
        <v>537</v>
      </c>
      <c r="X91" s="100">
        <f t="shared" si="5"/>
        <v>489</v>
      </c>
      <c r="Y91" s="100">
        <f aca="true" t="shared" si="8" ref="Y91:AI91">IF(ISERROR(Y60),0,Y60)</f>
        <v>506</v>
      </c>
      <c r="Z91" s="100">
        <f t="shared" si="8"/>
        <v>395</v>
      </c>
      <c r="AA91" s="100">
        <f t="shared" si="8"/>
        <v>408</v>
      </c>
      <c r="AB91" s="100">
        <f t="shared" si="8"/>
        <v>382</v>
      </c>
      <c r="AC91" s="100">
        <f t="shared" si="8"/>
        <v>323</v>
      </c>
      <c r="AD91" s="100">
        <f t="shared" si="8"/>
        <v>341</v>
      </c>
      <c r="AE91" s="100">
        <f t="shared" si="8"/>
        <v>313</v>
      </c>
      <c r="AF91" s="100">
        <f t="shared" si="8"/>
        <v>317</v>
      </c>
      <c r="AG91" s="100">
        <f t="shared" si="8"/>
        <v>301</v>
      </c>
      <c r="AH91" s="100">
        <f t="shared" si="8"/>
        <v>263</v>
      </c>
      <c r="AI91" s="100">
        <f t="shared" si="8"/>
        <v>281</v>
      </c>
    </row>
    <row r="92" spans="2:35" ht="12.75">
      <c r="B92" s="101" t="s">
        <v>25</v>
      </c>
      <c r="C92" s="100">
        <f t="shared" si="3"/>
        <v>333</v>
      </c>
      <c r="D92" s="100">
        <f t="shared" si="5"/>
        <v>383</v>
      </c>
      <c r="E92" s="100">
        <f t="shared" si="5"/>
        <v>331</v>
      </c>
      <c r="F92" s="100">
        <f t="shared" si="5"/>
        <v>348</v>
      </c>
      <c r="G92" s="100">
        <f t="shared" si="5"/>
        <v>353</v>
      </c>
      <c r="H92" s="100">
        <f t="shared" si="5"/>
        <v>352</v>
      </c>
      <c r="I92" s="100">
        <f t="shared" si="5"/>
        <v>365</v>
      </c>
      <c r="J92" s="100">
        <f t="shared" si="5"/>
        <v>359</v>
      </c>
      <c r="K92" s="100">
        <f t="shared" si="5"/>
        <v>329</v>
      </c>
      <c r="L92" s="100">
        <f t="shared" si="5"/>
        <v>292</v>
      </c>
      <c r="M92" s="100">
        <f t="shared" si="5"/>
        <v>352</v>
      </c>
      <c r="N92" s="100">
        <f t="shared" si="5"/>
        <v>326</v>
      </c>
      <c r="O92" s="100">
        <f t="shared" si="5"/>
        <v>331</v>
      </c>
      <c r="P92" s="100">
        <f t="shared" si="5"/>
        <v>336</v>
      </c>
      <c r="Q92" s="100">
        <f t="shared" si="5"/>
        <v>322</v>
      </c>
      <c r="R92" s="100">
        <f t="shared" si="5"/>
        <v>331</v>
      </c>
      <c r="S92" s="100">
        <f t="shared" si="5"/>
        <v>343</v>
      </c>
      <c r="T92" s="100">
        <f t="shared" si="5"/>
        <v>336</v>
      </c>
      <c r="U92" s="100">
        <f t="shared" si="5"/>
        <v>333</v>
      </c>
      <c r="V92" s="100">
        <f t="shared" si="5"/>
        <v>350</v>
      </c>
      <c r="W92" s="100">
        <f t="shared" si="5"/>
        <v>314</v>
      </c>
      <c r="X92" s="100">
        <f t="shared" si="5"/>
        <v>325</v>
      </c>
      <c r="Y92" s="100">
        <f aca="true" t="shared" si="9" ref="Y92:AI92">IF(ISERROR(Y61),0,Y61)</f>
        <v>325</v>
      </c>
      <c r="Z92" s="100">
        <f t="shared" si="9"/>
        <v>295</v>
      </c>
      <c r="AA92" s="100">
        <f t="shared" si="9"/>
        <v>320</v>
      </c>
      <c r="AB92" s="100">
        <f t="shared" si="9"/>
        <v>296</v>
      </c>
      <c r="AC92" s="100">
        <f t="shared" si="9"/>
        <v>277</v>
      </c>
      <c r="AD92" s="100">
        <f t="shared" si="9"/>
        <v>292</v>
      </c>
      <c r="AE92" s="100">
        <f t="shared" si="9"/>
        <v>289</v>
      </c>
      <c r="AF92" s="100">
        <f t="shared" si="9"/>
        <v>312</v>
      </c>
      <c r="AG92" s="100">
        <f t="shared" si="9"/>
        <v>291</v>
      </c>
      <c r="AH92" s="100">
        <f t="shared" si="9"/>
        <v>282</v>
      </c>
      <c r="AI92" s="100">
        <f t="shared" si="9"/>
        <v>295</v>
      </c>
    </row>
    <row r="93" spans="2:35" ht="12.75">
      <c r="B93" s="101" t="s">
        <v>26</v>
      </c>
      <c r="C93" s="100">
        <f t="shared" si="3"/>
        <v>111</v>
      </c>
      <c r="D93" s="100">
        <f t="shared" si="5"/>
        <v>143</v>
      </c>
      <c r="E93" s="100">
        <f t="shared" si="5"/>
        <v>138</v>
      </c>
      <c r="F93" s="100">
        <f t="shared" si="5"/>
        <v>110</v>
      </c>
      <c r="G93" s="100">
        <f t="shared" si="5"/>
        <v>130</v>
      </c>
      <c r="H93" s="100">
        <f t="shared" si="5"/>
        <v>119</v>
      </c>
      <c r="I93" s="100">
        <f t="shared" si="5"/>
        <v>123</v>
      </c>
      <c r="J93" s="100">
        <f t="shared" si="5"/>
        <v>128</v>
      </c>
      <c r="K93" s="100">
        <f t="shared" si="5"/>
        <v>116</v>
      </c>
      <c r="L93" s="100">
        <f t="shared" si="5"/>
        <v>114</v>
      </c>
      <c r="M93" s="100">
        <f t="shared" si="5"/>
        <v>118</v>
      </c>
      <c r="N93" s="100">
        <f t="shared" si="5"/>
        <v>107</v>
      </c>
      <c r="O93" s="100">
        <f t="shared" si="5"/>
        <v>117</v>
      </c>
      <c r="P93" s="100">
        <f t="shared" si="5"/>
        <v>113</v>
      </c>
      <c r="Q93" s="100">
        <f t="shared" si="5"/>
        <v>103</v>
      </c>
      <c r="R93" s="100">
        <f t="shared" si="5"/>
        <v>114</v>
      </c>
      <c r="S93" s="100">
        <f t="shared" si="5"/>
        <v>118</v>
      </c>
      <c r="T93" s="100">
        <f t="shared" si="5"/>
        <v>121</v>
      </c>
      <c r="U93" s="100">
        <f t="shared" si="5"/>
        <v>111</v>
      </c>
      <c r="V93" s="100">
        <f t="shared" si="5"/>
        <v>115</v>
      </c>
      <c r="W93" s="100">
        <f t="shared" si="5"/>
        <v>120</v>
      </c>
      <c r="X93" s="100">
        <f t="shared" si="5"/>
        <v>107</v>
      </c>
      <c r="Y93" s="100">
        <f aca="true" t="shared" si="10" ref="Y93:AI93">IF(ISERROR(Y62),0,Y62)</f>
        <v>117</v>
      </c>
      <c r="Z93" s="100">
        <f t="shared" si="10"/>
        <v>101</v>
      </c>
      <c r="AA93" s="100">
        <f t="shared" si="10"/>
        <v>104</v>
      </c>
      <c r="AB93" s="100">
        <f t="shared" si="10"/>
        <v>107</v>
      </c>
      <c r="AC93" s="100">
        <f t="shared" si="10"/>
        <v>94</v>
      </c>
      <c r="AD93" s="100">
        <f t="shared" si="10"/>
        <v>103</v>
      </c>
      <c r="AE93" s="100">
        <f t="shared" si="10"/>
        <v>94</v>
      </c>
      <c r="AF93" s="100">
        <f t="shared" si="10"/>
        <v>106</v>
      </c>
      <c r="AG93" s="100">
        <f t="shared" si="10"/>
        <v>104</v>
      </c>
      <c r="AH93" s="100">
        <f t="shared" si="10"/>
        <v>89</v>
      </c>
      <c r="AI93" s="100">
        <f t="shared" si="10"/>
        <v>100</v>
      </c>
    </row>
    <row r="94" spans="2:35" ht="12.75">
      <c r="B94" s="101" t="s">
        <v>107</v>
      </c>
      <c r="C94" s="100">
        <f>IF(ISERROR(C63),0,C63)</f>
        <v>0</v>
      </c>
      <c r="D94" s="100">
        <f t="shared" si="5"/>
        <v>0</v>
      </c>
      <c r="E94" s="100">
        <f t="shared" si="5"/>
        <v>0</v>
      </c>
      <c r="F94" s="100">
        <f t="shared" si="5"/>
        <v>0</v>
      </c>
      <c r="G94" s="100">
        <f t="shared" si="5"/>
        <v>0</v>
      </c>
      <c r="H94" s="100">
        <f t="shared" si="5"/>
        <v>0</v>
      </c>
      <c r="I94" s="100">
        <f t="shared" si="5"/>
        <v>0</v>
      </c>
      <c r="J94" s="100">
        <f t="shared" si="5"/>
        <v>0</v>
      </c>
      <c r="K94" s="100">
        <f t="shared" si="5"/>
        <v>0</v>
      </c>
      <c r="L94" s="100">
        <f t="shared" si="5"/>
        <v>0</v>
      </c>
      <c r="M94" s="100">
        <f t="shared" si="5"/>
        <v>0</v>
      </c>
      <c r="N94" s="100">
        <f t="shared" si="5"/>
        <v>0</v>
      </c>
      <c r="O94" s="100">
        <f t="shared" si="5"/>
        <v>0</v>
      </c>
      <c r="P94" s="100">
        <f t="shared" si="5"/>
        <v>0</v>
      </c>
      <c r="Q94" s="100">
        <f t="shared" si="5"/>
        <v>0</v>
      </c>
      <c r="R94" s="100">
        <f t="shared" si="5"/>
        <v>0</v>
      </c>
      <c r="S94" s="100">
        <f t="shared" si="5"/>
        <v>0</v>
      </c>
      <c r="T94" s="100">
        <f t="shared" si="5"/>
        <v>0</v>
      </c>
      <c r="U94" s="100">
        <f t="shared" si="5"/>
        <v>0</v>
      </c>
      <c r="V94" s="100">
        <f t="shared" si="5"/>
        <v>0</v>
      </c>
      <c r="W94" s="100">
        <f t="shared" si="5"/>
        <v>0</v>
      </c>
      <c r="X94" s="100">
        <f t="shared" si="5"/>
        <v>0</v>
      </c>
      <c r="Y94" s="100">
        <f aca="true" t="shared" si="11" ref="Y94:AI94">IF(ISERROR(Y63),0,Y63)</f>
        <v>0</v>
      </c>
      <c r="Z94" s="100">
        <f t="shared" si="11"/>
        <v>0</v>
      </c>
      <c r="AA94" s="100">
        <f t="shared" si="11"/>
        <v>0</v>
      </c>
      <c r="AB94" s="100">
        <f t="shared" si="11"/>
        <v>0</v>
      </c>
      <c r="AC94" s="100">
        <f t="shared" si="11"/>
        <v>0</v>
      </c>
      <c r="AD94" s="100">
        <f t="shared" si="11"/>
        <v>0</v>
      </c>
      <c r="AE94" s="100">
        <f t="shared" si="11"/>
        <v>0</v>
      </c>
      <c r="AF94" s="100">
        <f t="shared" si="11"/>
        <v>0</v>
      </c>
      <c r="AG94" s="100">
        <f t="shared" si="11"/>
        <v>0</v>
      </c>
      <c r="AH94" s="100">
        <f t="shared" si="11"/>
        <v>0</v>
      </c>
      <c r="AI94" s="100">
        <f t="shared" si="11"/>
        <v>5</v>
      </c>
    </row>
    <row r="95" spans="2:17" ht="12.75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spans="2:35" ht="13.5" thickBot="1">
      <c r="B96" s="54" t="s">
        <v>0</v>
      </c>
      <c r="C96" s="55">
        <v>38108</v>
      </c>
      <c r="D96" s="55">
        <v>38139</v>
      </c>
      <c r="E96" s="55">
        <v>38169</v>
      </c>
      <c r="F96" s="55">
        <v>38200</v>
      </c>
      <c r="G96" s="55">
        <v>38231</v>
      </c>
      <c r="H96" s="55">
        <v>38261</v>
      </c>
      <c r="I96" s="55">
        <v>38292</v>
      </c>
      <c r="J96" s="55">
        <v>38322</v>
      </c>
      <c r="K96" s="55">
        <v>38353</v>
      </c>
      <c r="L96" s="55">
        <v>38384</v>
      </c>
      <c r="M96" s="55">
        <v>38412</v>
      </c>
      <c r="N96" s="55">
        <v>38443</v>
      </c>
      <c r="O96" s="55">
        <v>38473</v>
      </c>
      <c r="P96" s="55">
        <v>38504</v>
      </c>
      <c r="Q96" s="55">
        <v>38534</v>
      </c>
      <c r="R96" s="55">
        <v>38565</v>
      </c>
      <c r="S96" s="55">
        <v>38596</v>
      </c>
      <c r="T96" s="55">
        <v>38626</v>
      </c>
      <c r="U96" s="55">
        <v>38657</v>
      </c>
      <c r="V96" s="55">
        <v>38687</v>
      </c>
      <c r="W96" s="55">
        <v>38718</v>
      </c>
      <c r="X96" s="55">
        <v>38749</v>
      </c>
      <c r="Y96" s="55">
        <v>38777</v>
      </c>
      <c r="Z96" s="55">
        <v>38808</v>
      </c>
      <c r="AA96" s="55">
        <v>38838</v>
      </c>
      <c r="AB96" s="55">
        <v>38869</v>
      </c>
      <c r="AC96" s="55">
        <v>38899</v>
      </c>
      <c r="AD96" s="55">
        <v>38930</v>
      </c>
      <c r="AE96" s="55">
        <v>38961</v>
      </c>
      <c r="AF96" s="55">
        <v>38991</v>
      </c>
      <c r="AG96" s="55">
        <v>39022</v>
      </c>
      <c r="AH96" s="55">
        <v>39052</v>
      </c>
      <c r="AI96" s="55">
        <v>39083</v>
      </c>
    </row>
    <row r="97" spans="2:36" ht="13.5" thickTop="1">
      <c r="B97" s="30" t="s">
        <v>27</v>
      </c>
      <c r="C97" s="32">
        <f>SUM(C66:C68)</f>
        <v>574</v>
      </c>
      <c r="D97" s="32">
        <f aca="true" t="shared" si="12" ref="D97:AI97">SUM(D66:D68)</f>
        <v>655</v>
      </c>
      <c r="E97" s="32">
        <f t="shared" si="12"/>
        <v>620</v>
      </c>
      <c r="F97" s="32">
        <f t="shared" si="12"/>
        <v>631</v>
      </c>
      <c r="G97" s="32">
        <f t="shared" si="12"/>
        <v>609</v>
      </c>
      <c r="H97" s="32">
        <f t="shared" si="12"/>
        <v>611</v>
      </c>
      <c r="I97" s="32">
        <f t="shared" si="12"/>
        <v>627</v>
      </c>
      <c r="J97" s="32">
        <f t="shared" si="12"/>
        <v>623</v>
      </c>
      <c r="K97" s="32">
        <f t="shared" si="12"/>
        <v>593</v>
      </c>
      <c r="L97" s="32">
        <f t="shared" si="12"/>
        <v>574</v>
      </c>
      <c r="M97" s="32">
        <f t="shared" si="12"/>
        <v>636</v>
      </c>
      <c r="N97" s="32">
        <f t="shared" si="12"/>
        <v>632</v>
      </c>
      <c r="O97" s="32">
        <f t="shared" si="12"/>
        <v>655</v>
      </c>
      <c r="P97" s="32">
        <f t="shared" si="12"/>
        <v>651</v>
      </c>
      <c r="Q97" s="32">
        <f t="shared" si="12"/>
        <v>662</v>
      </c>
      <c r="R97" s="32">
        <f t="shared" si="12"/>
        <v>700</v>
      </c>
      <c r="S97" s="32">
        <f t="shared" si="12"/>
        <v>690</v>
      </c>
      <c r="T97" s="32">
        <f t="shared" si="12"/>
        <v>671</v>
      </c>
      <c r="U97" s="32">
        <f t="shared" si="12"/>
        <v>735</v>
      </c>
      <c r="V97" s="32">
        <f t="shared" si="12"/>
        <v>757</v>
      </c>
      <c r="W97" s="32">
        <f t="shared" si="12"/>
        <v>728</v>
      </c>
      <c r="X97" s="32">
        <f t="shared" si="12"/>
        <v>704</v>
      </c>
      <c r="Y97" s="32">
        <f t="shared" si="12"/>
        <v>745</v>
      </c>
      <c r="Z97" s="32">
        <f t="shared" si="12"/>
        <v>686</v>
      </c>
      <c r="AA97" s="32">
        <f t="shared" si="12"/>
        <v>765</v>
      </c>
      <c r="AB97" s="32">
        <f t="shared" si="12"/>
        <v>746</v>
      </c>
      <c r="AC97" s="32">
        <f t="shared" si="12"/>
        <v>734</v>
      </c>
      <c r="AD97" s="32">
        <f t="shared" si="12"/>
        <v>728</v>
      </c>
      <c r="AE97" s="32">
        <f t="shared" si="12"/>
        <v>717</v>
      </c>
      <c r="AF97" s="32">
        <f t="shared" si="12"/>
        <v>742</v>
      </c>
      <c r="AG97" s="32">
        <f t="shared" si="12"/>
        <v>721</v>
      </c>
      <c r="AH97" s="32">
        <f t="shared" si="12"/>
        <v>725</v>
      </c>
      <c r="AI97" s="32">
        <f t="shared" si="12"/>
        <v>778</v>
      </c>
      <c r="AJ97" s="58">
        <f>AI97-AH97</f>
        <v>53</v>
      </c>
    </row>
    <row r="98" spans="2:36" ht="12.75">
      <c r="B98" s="22" t="s">
        <v>28</v>
      </c>
      <c r="C98" s="23">
        <f>SUM(C69:C71)</f>
        <v>1177</v>
      </c>
      <c r="D98" s="23">
        <f aca="true" t="shared" si="13" ref="D98:AI98">SUM(D69:D71)</f>
        <v>1314</v>
      </c>
      <c r="E98" s="23">
        <f t="shared" si="13"/>
        <v>1323</v>
      </c>
      <c r="F98" s="23">
        <f t="shared" si="13"/>
        <v>1301</v>
      </c>
      <c r="G98" s="23">
        <f t="shared" si="13"/>
        <v>1266</v>
      </c>
      <c r="H98" s="23">
        <f t="shared" si="13"/>
        <v>1303</v>
      </c>
      <c r="I98" s="23">
        <f t="shared" si="13"/>
        <v>1369</v>
      </c>
      <c r="J98" s="23">
        <f t="shared" si="13"/>
        <v>1370</v>
      </c>
      <c r="K98" s="23">
        <f t="shared" si="13"/>
        <v>1339</v>
      </c>
      <c r="L98" s="23">
        <f t="shared" si="13"/>
        <v>1207</v>
      </c>
      <c r="M98" s="23">
        <f t="shared" si="13"/>
        <v>1388</v>
      </c>
      <c r="N98" s="23">
        <f t="shared" si="13"/>
        <v>1319</v>
      </c>
      <c r="O98" s="23">
        <f t="shared" si="13"/>
        <v>1347</v>
      </c>
      <c r="P98" s="23">
        <f t="shared" si="13"/>
        <v>1339</v>
      </c>
      <c r="Q98" s="23">
        <f t="shared" si="13"/>
        <v>1266</v>
      </c>
      <c r="R98" s="23">
        <f t="shared" si="13"/>
        <v>1278</v>
      </c>
      <c r="S98" s="23">
        <f t="shared" si="13"/>
        <v>1235</v>
      </c>
      <c r="T98" s="23">
        <f t="shared" si="13"/>
        <v>1213</v>
      </c>
      <c r="U98" s="23">
        <f t="shared" si="13"/>
        <v>1252</v>
      </c>
      <c r="V98" s="23">
        <f t="shared" si="13"/>
        <v>1265</v>
      </c>
      <c r="W98" s="23">
        <f t="shared" si="13"/>
        <v>1229</v>
      </c>
      <c r="X98" s="23">
        <f t="shared" si="13"/>
        <v>1193</v>
      </c>
      <c r="Y98" s="23">
        <f t="shared" si="13"/>
        <v>1237</v>
      </c>
      <c r="Z98" s="23">
        <f t="shared" si="13"/>
        <v>1110</v>
      </c>
      <c r="AA98" s="23">
        <f t="shared" si="13"/>
        <v>1216</v>
      </c>
      <c r="AB98" s="23">
        <f t="shared" si="13"/>
        <v>1151</v>
      </c>
      <c r="AC98" s="23">
        <f t="shared" si="13"/>
        <v>1111</v>
      </c>
      <c r="AD98" s="23">
        <f t="shared" si="13"/>
        <v>1181</v>
      </c>
      <c r="AE98" s="23">
        <f t="shared" si="13"/>
        <v>1118</v>
      </c>
      <c r="AF98" s="23">
        <f t="shared" si="13"/>
        <v>1198</v>
      </c>
      <c r="AG98" s="23">
        <f t="shared" si="13"/>
        <v>1159</v>
      </c>
      <c r="AH98" s="23">
        <f t="shared" si="13"/>
        <v>1107</v>
      </c>
      <c r="AI98" s="23">
        <f t="shared" si="13"/>
        <v>1255</v>
      </c>
      <c r="AJ98" s="58">
        <f aca="true" t="shared" si="14" ref="AJ98:AJ110">AI98-AH98</f>
        <v>148</v>
      </c>
    </row>
    <row r="99" spans="2:36" ht="12.75">
      <c r="B99" s="22" t="s">
        <v>54</v>
      </c>
      <c r="C99" s="23">
        <f>C72</f>
        <v>0</v>
      </c>
      <c r="D99" s="23">
        <f aca="true" t="shared" si="15" ref="D99:AI99">D72</f>
        <v>0</v>
      </c>
      <c r="E99" s="23">
        <f t="shared" si="15"/>
        <v>0</v>
      </c>
      <c r="F99" s="23">
        <f t="shared" si="15"/>
        <v>0</v>
      </c>
      <c r="G99" s="23">
        <f t="shared" si="15"/>
        <v>0</v>
      </c>
      <c r="H99" s="23">
        <f t="shared" si="15"/>
        <v>0</v>
      </c>
      <c r="I99" s="23">
        <f t="shared" si="15"/>
        <v>0</v>
      </c>
      <c r="J99" s="23">
        <f t="shared" si="15"/>
        <v>0</v>
      </c>
      <c r="K99" s="23">
        <f t="shared" si="15"/>
        <v>0</v>
      </c>
      <c r="L99" s="23">
        <f t="shared" si="15"/>
        <v>0</v>
      </c>
      <c r="M99" s="23">
        <f t="shared" si="15"/>
        <v>0</v>
      </c>
      <c r="N99" s="23">
        <f t="shared" si="15"/>
        <v>0</v>
      </c>
      <c r="O99" s="23">
        <f t="shared" si="15"/>
        <v>0</v>
      </c>
      <c r="P99" s="23">
        <f t="shared" si="15"/>
        <v>0</v>
      </c>
      <c r="Q99" s="23">
        <f t="shared" si="15"/>
        <v>0</v>
      </c>
      <c r="R99" s="23">
        <f t="shared" si="15"/>
        <v>0</v>
      </c>
      <c r="S99" s="23">
        <f t="shared" si="15"/>
        <v>0</v>
      </c>
      <c r="T99" s="23">
        <f t="shared" si="15"/>
        <v>0</v>
      </c>
      <c r="U99" s="23">
        <f t="shared" si="15"/>
        <v>0</v>
      </c>
      <c r="V99" s="23">
        <f t="shared" si="15"/>
        <v>0</v>
      </c>
      <c r="W99" s="23">
        <f t="shared" si="15"/>
        <v>0</v>
      </c>
      <c r="X99" s="23">
        <f t="shared" si="15"/>
        <v>0</v>
      </c>
      <c r="Y99" s="23">
        <f t="shared" si="15"/>
        <v>0</v>
      </c>
      <c r="Z99" s="23">
        <f t="shared" si="15"/>
        <v>0</v>
      </c>
      <c r="AA99" s="23">
        <f t="shared" si="15"/>
        <v>0</v>
      </c>
      <c r="AB99" s="23">
        <f t="shared" si="15"/>
        <v>5</v>
      </c>
      <c r="AC99" s="23">
        <f t="shared" si="15"/>
        <v>7</v>
      </c>
      <c r="AD99" s="23">
        <f t="shared" si="15"/>
        <v>12</v>
      </c>
      <c r="AE99" s="23">
        <f t="shared" si="15"/>
        <v>12</v>
      </c>
      <c r="AF99" s="23">
        <f t="shared" si="15"/>
        <v>25</v>
      </c>
      <c r="AG99" s="23">
        <f t="shared" si="15"/>
        <v>24</v>
      </c>
      <c r="AH99" s="23">
        <f t="shared" si="15"/>
        <v>34</v>
      </c>
      <c r="AI99" s="23">
        <f t="shared" si="15"/>
        <v>40</v>
      </c>
      <c r="AJ99" s="58">
        <f t="shared" si="14"/>
        <v>6</v>
      </c>
    </row>
    <row r="100" spans="2:36" ht="12.75">
      <c r="B100" s="22" t="s">
        <v>29</v>
      </c>
      <c r="C100" s="23">
        <f>SUM(C73:C75)</f>
        <v>215</v>
      </c>
      <c r="D100" s="23">
        <f aca="true" t="shared" si="16" ref="D100:AI100">SUM(D73:D75)</f>
        <v>236</v>
      </c>
      <c r="E100" s="23">
        <f t="shared" si="16"/>
        <v>231</v>
      </c>
      <c r="F100" s="23">
        <f t="shared" si="16"/>
        <v>221</v>
      </c>
      <c r="G100" s="23">
        <f t="shared" si="16"/>
        <v>210</v>
      </c>
      <c r="H100" s="23">
        <f t="shared" si="16"/>
        <v>223</v>
      </c>
      <c r="I100" s="23">
        <f t="shared" si="16"/>
        <v>214</v>
      </c>
      <c r="J100" s="23">
        <f t="shared" si="16"/>
        <v>223</v>
      </c>
      <c r="K100" s="23">
        <f t="shared" si="16"/>
        <v>227</v>
      </c>
      <c r="L100" s="23">
        <f t="shared" si="16"/>
        <v>235</v>
      </c>
      <c r="M100" s="23">
        <f t="shared" si="16"/>
        <v>225</v>
      </c>
      <c r="N100" s="23">
        <f t="shared" si="16"/>
        <v>250</v>
      </c>
      <c r="O100" s="23">
        <f t="shared" si="16"/>
        <v>232</v>
      </c>
      <c r="P100" s="23">
        <f t="shared" si="16"/>
        <v>239</v>
      </c>
      <c r="Q100" s="23">
        <f t="shared" si="16"/>
        <v>217</v>
      </c>
      <c r="R100" s="23">
        <f t="shared" si="16"/>
        <v>237</v>
      </c>
      <c r="S100" s="23">
        <f t="shared" si="16"/>
        <v>219</v>
      </c>
      <c r="T100" s="23">
        <f t="shared" si="16"/>
        <v>225</v>
      </c>
      <c r="U100" s="23">
        <f t="shared" si="16"/>
        <v>230</v>
      </c>
      <c r="V100" s="23">
        <f t="shared" si="16"/>
        <v>235</v>
      </c>
      <c r="W100" s="23">
        <f t="shared" si="16"/>
        <v>246</v>
      </c>
      <c r="X100" s="23">
        <f t="shared" si="16"/>
        <v>210</v>
      </c>
      <c r="Y100" s="23">
        <f t="shared" si="16"/>
        <v>234</v>
      </c>
      <c r="Z100" s="23">
        <f t="shared" si="16"/>
        <v>196</v>
      </c>
      <c r="AA100" s="23">
        <f t="shared" si="16"/>
        <v>230</v>
      </c>
      <c r="AB100" s="23">
        <f t="shared" si="16"/>
        <v>218</v>
      </c>
      <c r="AC100" s="23">
        <f t="shared" si="16"/>
        <v>208</v>
      </c>
      <c r="AD100" s="23">
        <f t="shared" si="16"/>
        <v>219</v>
      </c>
      <c r="AE100" s="23">
        <f t="shared" si="16"/>
        <v>220</v>
      </c>
      <c r="AF100" s="23">
        <f t="shared" si="16"/>
        <v>226</v>
      </c>
      <c r="AG100" s="23">
        <f t="shared" si="16"/>
        <v>217</v>
      </c>
      <c r="AH100" s="23">
        <f t="shared" si="16"/>
        <v>198</v>
      </c>
      <c r="AI100" s="23">
        <f t="shared" si="16"/>
        <v>211</v>
      </c>
      <c r="AJ100" s="58">
        <f t="shared" si="14"/>
        <v>13</v>
      </c>
    </row>
    <row r="101" spans="2:36" ht="12.75">
      <c r="B101" s="22" t="s">
        <v>30</v>
      </c>
      <c r="C101" s="23">
        <f>SUM(C76:C79)</f>
        <v>782</v>
      </c>
      <c r="D101" s="23">
        <f aca="true" t="shared" si="17" ref="D101:AI101">SUM(D76:D79)</f>
        <v>862</v>
      </c>
      <c r="E101" s="23">
        <f t="shared" si="17"/>
        <v>814</v>
      </c>
      <c r="F101" s="23">
        <f t="shared" si="17"/>
        <v>833</v>
      </c>
      <c r="G101" s="23">
        <f t="shared" si="17"/>
        <v>849</v>
      </c>
      <c r="H101" s="23">
        <f t="shared" si="17"/>
        <v>831</v>
      </c>
      <c r="I101" s="23">
        <f t="shared" si="17"/>
        <v>883</v>
      </c>
      <c r="J101" s="23">
        <f t="shared" si="17"/>
        <v>900</v>
      </c>
      <c r="K101" s="23">
        <f t="shared" si="17"/>
        <v>907</v>
      </c>
      <c r="L101" s="23">
        <f t="shared" si="17"/>
        <v>860</v>
      </c>
      <c r="M101" s="23">
        <f t="shared" si="17"/>
        <v>937</v>
      </c>
      <c r="N101" s="23">
        <f t="shared" si="17"/>
        <v>955</v>
      </c>
      <c r="O101" s="23">
        <f t="shared" si="17"/>
        <v>962</v>
      </c>
      <c r="P101" s="23">
        <f t="shared" si="17"/>
        <v>959</v>
      </c>
      <c r="Q101" s="23">
        <f t="shared" si="17"/>
        <v>903</v>
      </c>
      <c r="R101" s="23">
        <f t="shared" si="17"/>
        <v>905</v>
      </c>
      <c r="S101" s="23">
        <f t="shared" si="17"/>
        <v>925</v>
      </c>
      <c r="T101" s="23">
        <f t="shared" si="17"/>
        <v>874</v>
      </c>
      <c r="U101" s="23">
        <f t="shared" si="17"/>
        <v>917</v>
      </c>
      <c r="V101" s="23">
        <f t="shared" si="17"/>
        <v>866</v>
      </c>
      <c r="W101" s="23">
        <f t="shared" si="17"/>
        <v>911</v>
      </c>
      <c r="X101" s="23">
        <f t="shared" si="17"/>
        <v>852</v>
      </c>
      <c r="Y101" s="23">
        <f t="shared" si="17"/>
        <v>913</v>
      </c>
      <c r="Z101" s="23">
        <f t="shared" si="17"/>
        <v>827</v>
      </c>
      <c r="AA101" s="23">
        <f t="shared" si="17"/>
        <v>916</v>
      </c>
      <c r="AB101" s="23">
        <f t="shared" si="17"/>
        <v>907</v>
      </c>
      <c r="AC101" s="23">
        <f t="shared" si="17"/>
        <v>875</v>
      </c>
      <c r="AD101" s="23">
        <f t="shared" si="17"/>
        <v>908</v>
      </c>
      <c r="AE101" s="23">
        <f t="shared" si="17"/>
        <v>890</v>
      </c>
      <c r="AF101" s="23">
        <f t="shared" si="17"/>
        <v>898</v>
      </c>
      <c r="AG101" s="23">
        <f t="shared" si="17"/>
        <v>868</v>
      </c>
      <c r="AH101" s="23">
        <f t="shared" si="17"/>
        <v>877</v>
      </c>
      <c r="AI101" s="23">
        <f t="shared" si="17"/>
        <v>977</v>
      </c>
      <c r="AJ101" s="58">
        <f t="shared" si="14"/>
        <v>100</v>
      </c>
    </row>
    <row r="102" spans="2:36" ht="12.75">
      <c r="B102" s="22" t="s">
        <v>31</v>
      </c>
      <c r="C102" s="23">
        <f>SUM(C80:C82)</f>
        <v>63</v>
      </c>
      <c r="D102" s="23">
        <f aca="true" t="shared" si="18" ref="D102:AI102">SUM(D80:D82)</f>
        <v>114</v>
      </c>
      <c r="E102" s="23">
        <f t="shared" si="18"/>
        <v>133</v>
      </c>
      <c r="F102" s="23">
        <f t="shared" si="18"/>
        <v>122</v>
      </c>
      <c r="G102" s="23">
        <f t="shared" si="18"/>
        <v>137</v>
      </c>
      <c r="H102" s="23">
        <f t="shared" si="18"/>
        <v>146</v>
      </c>
      <c r="I102" s="23">
        <f t="shared" si="18"/>
        <v>153</v>
      </c>
      <c r="J102" s="23">
        <f t="shared" si="18"/>
        <v>122</v>
      </c>
      <c r="K102" s="23">
        <f t="shared" si="18"/>
        <v>143</v>
      </c>
      <c r="L102" s="23">
        <f t="shared" si="18"/>
        <v>137</v>
      </c>
      <c r="M102" s="23">
        <f t="shared" si="18"/>
        <v>172</v>
      </c>
      <c r="N102" s="23">
        <f t="shared" si="18"/>
        <v>179</v>
      </c>
      <c r="O102" s="23">
        <f t="shared" si="18"/>
        <v>197</v>
      </c>
      <c r="P102" s="23">
        <f t="shared" si="18"/>
        <v>212</v>
      </c>
      <c r="Q102" s="23">
        <f t="shared" si="18"/>
        <v>184</v>
      </c>
      <c r="R102" s="23">
        <f t="shared" si="18"/>
        <v>200</v>
      </c>
      <c r="S102" s="23">
        <f t="shared" si="18"/>
        <v>203</v>
      </c>
      <c r="T102" s="23">
        <f t="shared" si="18"/>
        <v>216</v>
      </c>
      <c r="U102" s="23">
        <f t="shared" si="18"/>
        <v>223</v>
      </c>
      <c r="V102" s="23">
        <f t="shared" si="18"/>
        <v>221</v>
      </c>
      <c r="W102" s="23">
        <f t="shared" si="18"/>
        <v>231</v>
      </c>
      <c r="X102" s="23">
        <f t="shared" si="18"/>
        <v>271</v>
      </c>
      <c r="Y102" s="23">
        <f t="shared" si="18"/>
        <v>331</v>
      </c>
      <c r="Z102" s="23">
        <f t="shared" si="18"/>
        <v>329</v>
      </c>
      <c r="AA102" s="23">
        <f t="shared" si="18"/>
        <v>378</v>
      </c>
      <c r="AB102" s="23">
        <f t="shared" si="18"/>
        <v>405</v>
      </c>
      <c r="AC102" s="23">
        <f t="shared" si="18"/>
        <v>385</v>
      </c>
      <c r="AD102" s="23">
        <f t="shared" si="18"/>
        <v>407</v>
      </c>
      <c r="AE102" s="23">
        <f t="shared" si="18"/>
        <v>414</v>
      </c>
      <c r="AF102" s="23">
        <f t="shared" si="18"/>
        <v>477</v>
      </c>
      <c r="AG102" s="23">
        <f t="shared" si="18"/>
        <v>474</v>
      </c>
      <c r="AH102" s="23">
        <f t="shared" si="18"/>
        <v>451</v>
      </c>
      <c r="AI102" s="23">
        <f t="shared" si="18"/>
        <v>502</v>
      </c>
      <c r="AJ102" s="58">
        <f t="shared" si="14"/>
        <v>51</v>
      </c>
    </row>
    <row r="103" spans="2:36" ht="12.75">
      <c r="B103" s="22" t="s">
        <v>32</v>
      </c>
      <c r="C103" s="23">
        <f>C83</f>
        <v>0</v>
      </c>
      <c r="D103" s="23">
        <f aca="true" t="shared" si="19" ref="D103:AI103">D83</f>
        <v>0</v>
      </c>
      <c r="E103" s="23">
        <f t="shared" si="19"/>
        <v>0</v>
      </c>
      <c r="F103" s="23">
        <f t="shared" si="19"/>
        <v>0</v>
      </c>
      <c r="G103" s="23">
        <f t="shared" si="19"/>
        <v>0</v>
      </c>
      <c r="H103" s="23">
        <f t="shared" si="19"/>
        <v>0</v>
      </c>
      <c r="I103" s="23">
        <f t="shared" si="19"/>
        <v>0</v>
      </c>
      <c r="J103" s="23">
        <f t="shared" si="19"/>
        <v>0</v>
      </c>
      <c r="K103" s="23">
        <f t="shared" si="19"/>
        <v>5</v>
      </c>
      <c r="L103" s="23">
        <f t="shared" si="19"/>
        <v>13</v>
      </c>
      <c r="M103" s="23">
        <f t="shared" si="19"/>
        <v>30</v>
      </c>
      <c r="N103" s="23">
        <f t="shared" si="19"/>
        <v>42</v>
      </c>
      <c r="O103" s="23">
        <f t="shared" si="19"/>
        <v>45</v>
      </c>
      <c r="P103" s="23">
        <f t="shared" si="19"/>
        <v>75</v>
      </c>
      <c r="Q103" s="23">
        <f t="shared" si="19"/>
        <v>66</v>
      </c>
      <c r="R103" s="23">
        <f t="shared" si="19"/>
        <v>76</v>
      </c>
      <c r="S103" s="23">
        <f t="shared" si="19"/>
        <v>103</v>
      </c>
      <c r="T103" s="23">
        <f t="shared" si="19"/>
        <v>103</v>
      </c>
      <c r="U103" s="23">
        <f t="shared" si="19"/>
        <v>104</v>
      </c>
      <c r="V103" s="23">
        <f t="shared" si="19"/>
        <v>126</v>
      </c>
      <c r="W103" s="23">
        <f t="shared" si="19"/>
        <v>123</v>
      </c>
      <c r="X103" s="23">
        <f t="shared" si="19"/>
        <v>147</v>
      </c>
      <c r="Y103" s="23">
        <f t="shared" si="19"/>
        <v>150</v>
      </c>
      <c r="Z103" s="23">
        <f t="shared" si="19"/>
        <v>119</v>
      </c>
      <c r="AA103" s="23">
        <f t="shared" si="19"/>
        <v>142</v>
      </c>
      <c r="AB103" s="23">
        <f t="shared" si="19"/>
        <v>141</v>
      </c>
      <c r="AC103" s="23">
        <f t="shared" si="19"/>
        <v>141</v>
      </c>
      <c r="AD103" s="23">
        <f t="shared" si="19"/>
        <v>142</v>
      </c>
      <c r="AE103" s="23">
        <f t="shared" si="19"/>
        <v>140</v>
      </c>
      <c r="AF103" s="23">
        <f t="shared" si="19"/>
        <v>159</v>
      </c>
      <c r="AG103" s="23">
        <f t="shared" si="19"/>
        <v>154</v>
      </c>
      <c r="AH103" s="23">
        <f t="shared" si="19"/>
        <v>139</v>
      </c>
      <c r="AI103" s="23">
        <f t="shared" si="19"/>
        <v>161</v>
      </c>
      <c r="AJ103" s="58">
        <f t="shared" si="14"/>
        <v>22</v>
      </c>
    </row>
    <row r="104" spans="2:36" ht="12.75">
      <c r="B104" s="22" t="s">
        <v>33</v>
      </c>
      <c r="C104" s="23">
        <f>SUM(C84:C85)</f>
        <v>0</v>
      </c>
      <c r="D104" s="23">
        <f aca="true" t="shared" si="20" ref="D104:AI104">SUM(D84:D85)</f>
        <v>0</v>
      </c>
      <c r="E104" s="23">
        <f t="shared" si="20"/>
        <v>0</v>
      </c>
      <c r="F104" s="23">
        <f t="shared" si="20"/>
        <v>0</v>
      </c>
      <c r="G104" s="23">
        <f t="shared" si="20"/>
        <v>0</v>
      </c>
      <c r="H104" s="23">
        <f t="shared" si="20"/>
        <v>0</v>
      </c>
      <c r="I104" s="23">
        <f t="shared" si="20"/>
        <v>0</v>
      </c>
      <c r="J104" s="23">
        <f t="shared" si="20"/>
        <v>0</v>
      </c>
      <c r="K104" s="23">
        <f t="shared" si="20"/>
        <v>0</v>
      </c>
      <c r="L104" s="23">
        <f t="shared" si="20"/>
        <v>0</v>
      </c>
      <c r="M104" s="23">
        <f t="shared" si="20"/>
        <v>0</v>
      </c>
      <c r="N104" s="23">
        <f t="shared" si="20"/>
        <v>0</v>
      </c>
      <c r="O104" s="23">
        <f t="shared" si="20"/>
        <v>0</v>
      </c>
      <c r="P104" s="23">
        <f t="shared" si="20"/>
        <v>0</v>
      </c>
      <c r="Q104" s="23">
        <f t="shared" si="20"/>
        <v>0</v>
      </c>
      <c r="R104" s="23">
        <f t="shared" si="20"/>
        <v>0</v>
      </c>
      <c r="S104" s="23">
        <f t="shared" si="20"/>
        <v>0</v>
      </c>
      <c r="T104" s="23">
        <f t="shared" si="20"/>
        <v>0</v>
      </c>
      <c r="U104" s="23">
        <f t="shared" si="20"/>
        <v>0</v>
      </c>
      <c r="V104" s="23">
        <f t="shared" si="20"/>
        <v>0</v>
      </c>
      <c r="W104" s="23">
        <f t="shared" si="20"/>
        <v>2</v>
      </c>
      <c r="X104" s="23">
        <f t="shared" si="20"/>
        <v>15</v>
      </c>
      <c r="Y104" s="23">
        <f t="shared" si="20"/>
        <v>32</v>
      </c>
      <c r="Z104" s="23">
        <f t="shared" si="20"/>
        <v>33</v>
      </c>
      <c r="AA104" s="23">
        <f t="shared" si="20"/>
        <v>47</v>
      </c>
      <c r="AB104" s="23">
        <f t="shared" si="20"/>
        <v>53</v>
      </c>
      <c r="AC104" s="23">
        <f t="shared" si="20"/>
        <v>57</v>
      </c>
      <c r="AD104" s="23">
        <f t="shared" si="20"/>
        <v>59</v>
      </c>
      <c r="AE104" s="23">
        <f t="shared" si="20"/>
        <v>65</v>
      </c>
      <c r="AF104" s="23">
        <f t="shared" si="20"/>
        <v>74</v>
      </c>
      <c r="AG104" s="23">
        <f t="shared" si="20"/>
        <v>65</v>
      </c>
      <c r="AH104" s="23">
        <f t="shared" si="20"/>
        <v>65</v>
      </c>
      <c r="AI104" s="23">
        <f t="shared" si="20"/>
        <v>78</v>
      </c>
      <c r="AJ104" s="58">
        <f t="shared" si="14"/>
        <v>13</v>
      </c>
    </row>
    <row r="105" spans="2:36" ht="12.75">
      <c r="B105" s="22" t="s">
        <v>34</v>
      </c>
      <c r="C105" s="23">
        <f>C86</f>
        <v>5</v>
      </c>
      <c r="D105" s="23">
        <f aca="true" t="shared" si="21" ref="D105:AI105">D86</f>
        <v>11</v>
      </c>
      <c r="E105" s="23">
        <f t="shared" si="21"/>
        <v>8</v>
      </c>
      <c r="F105" s="23">
        <f t="shared" si="21"/>
        <v>6</v>
      </c>
      <c r="G105" s="23">
        <f t="shared" si="21"/>
        <v>7</v>
      </c>
      <c r="H105" s="23">
        <f t="shared" si="21"/>
        <v>11</v>
      </c>
      <c r="I105" s="23">
        <f t="shared" si="21"/>
        <v>13</v>
      </c>
      <c r="J105" s="23">
        <f t="shared" si="21"/>
        <v>10</v>
      </c>
      <c r="K105" s="23">
        <f t="shared" si="21"/>
        <v>12</v>
      </c>
      <c r="L105" s="23">
        <f t="shared" si="21"/>
        <v>9</v>
      </c>
      <c r="M105" s="23">
        <f t="shared" si="21"/>
        <v>10</v>
      </c>
      <c r="N105" s="23">
        <f t="shared" si="21"/>
        <v>9</v>
      </c>
      <c r="O105" s="23">
        <f t="shared" si="21"/>
        <v>15</v>
      </c>
      <c r="P105" s="23">
        <f t="shared" si="21"/>
        <v>11</v>
      </c>
      <c r="Q105" s="23">
        <f t="shared" si="21"/>
        <v>12</v>
      </c>
      <c r="R105" s="23">
        <f t="shared" si="21"/>
        <v>14</v>
      </c>
      <c r="S105" s="23">
        <f t="shared" si="21"/>
        <v>13</v>
      </c>
      <c r="T105" s="23">
        <f t="shared" si="21"/>
        <v>12</v>
      </c>
      <c r="U105" s="23">
        <f t="shared" si="21"/>
        <v>11</v>
      </c>
      <c r="V105" s="23">
        <f t="shared" si="21"/>
        <v>12</v>
      </c>
      <c r="W105" s="23">
        <f t="shared" si="21"/>
        <v>16</v>
      </c>
      <c r="X105" s="23">
        <f t="shared" si="21"/>
        <v>14</v>
      </c>
      <c r="Y105" s="23">
        <f t="shared" si="21"/>
        <v>10</v>
      </c>
      <c r="Z105" s="23">
        <f t="shared" si="21"/>
        <v>12</v>
      </c>
      <c r="AA105" s="23">
        <f t="shared" si="21"/>
        <v>11</v>
      </c>
      <c r="AB105" s="23">
        <f t="shared" si="21"/>
        <v>15</v>
      </c>
      <c r="AC105" s="23">
        <f t="shared" si="21"/>
        <v>12</v>
      </c>
      <c r="AD105" s="23">
        <f t="shared" si="21"/>
        <v>15</v>
      </c>
      <c r="AE105" s="23">
        <f t="shared" si="21"/>
        <v>16</v>
      </c>
      <c r="AF105" s="23">
        <f t="shared" si="21"/>
        <v>19</v>
      </c>
      <c r="AG105" s="23">
        <f t="shared" si="21"/>
        <v>17</v>
      </c>
      <c r="AH105" s="23">
        <f t="shared" si="21"/>
        <v>12</v>
      </c>
      <c r="AI105" s="23">
        <f t="shared" si="21"/>
        <v>14</v>
      </c>
      <c r="AJ105" s="58">
        <f t="shared" si="14"/>
        <v>2</v>
      </c>
    </row>
    <row r="106" spans="2:36" ht="12.75">
      <c r="B106" s="22" t="s">
        <v>35</v>
      </c>
      <c r="C106" s="23">
        <f>SUM(C87:C93)</f>
        <v>988</v>
      </c>
      <c r="D106" s="23">
        <f aca="true" t="shared" si="22" ref="D106:AI106">SUM(D87:D93)</f>
        <v>1164</v>
      </c>
      <c r="E106" s="23">
        <f t="shared" si="22"/>
        <v>1052</v>
      </c>
      <c r="F106" s="23">
        <f t="shared" si="22"/>
        <v>1078</v>
      </c>
      <c r="G106" s="23">
        <f t="shared" si="22"/>
        <v>1102</v>
      </c>
      <c r="H106" s="23">
        <f t="shared" si="22"/>
        <v>1068</v>
      </c>
      <c r="I106" s="23">
        <f t="shared" si="22"/>
        <v>1147</v>
      </c>
      <c r="J106" s="23">
        <f t="shared" si="22"/>
        <v>1131</v>
      </c>
      <c r="K106" s="23">
        <f t="shared" si="22"/>
        <v>1101</v>
      </c>
      <c r="L106" s="23">
        <f t="shared" si="22"/>
        <v>1038</v>
      </c>
      <c r="M106" s="23">
        <f t="shared" si="22"/>
        <v>1178</v>
      </c>
      <c r="N106" s="23">
        <f t="shared" si="22"/>
        <v>1099</v>
      </c>
      <c r="O106" s="23">
        <f t="shared" si="22"/>
        <v>1143</v>
      </c>
      <c r="P106" s="23">
        <f t="shared" si="22"/>
        <v>1103</v>
      </c>
      <c r="Q106" s="23">
        <f t="shared" si="22"/>
        <v>1059</v>
      </c>
      <c r="R106" s="23">
        <f t="shared" si="22"/>
        <v>1094</v>
      </c>
      <c r="S106" s="23">
        <f t="shared" si="22"/>
        <v>1111</v>
      </c>
      <c r="T106" s="23">
        <f t="shared" si="22"/>
        <v>1097</v>
      </c>
      <c r="U106" s="23">
        <f t="shared" si="22"/>
        <v>1123</v>
      </c>
      <c r="V106" s="23">
        <f t="shared" si="22"/>
        <v>1120</v>
      </c>
      <c r="W106" s="23">
        <f t="shared" si="22"/>
        <v>1073</v>
      </c>
      <c r="X106" s="23">
        <f t="shared" si="22"/>
        <v>1028</v>
      </c>
      <c r="Y106" s="23">
        <f t="shared" si="22"/>
        <v>1102</v>
      </c>
      <c r="Z106" s="23">
        <f t="shared" si="22"/>
        <v>982</v>
      </c>
      <c r="AA106" s="23">
        <f t="shared" si="22"/>
        <v>1090</v>
      </c>
      <c r="AB106" s="23">
        <f t="shared" si="22"/>
        <v>1078</v>
      </c>
      <c r="AC106" s="23">
        <f t="shared" si="22"/>
        <v>992</v>
      </c>
      <c r="AD106" s="23">
        <f t="shared" si="22"/>
        <v>1063</v>
      </c>
      <c r="AE106" s="23">
        <f t="shared" si="22"/>
        <v>1032</v>
      </c>
      <c r="AF106" s="23">
        <f t="shared" si="22"/>
        <v>1076</v>
      </c>
      <c r="AG106" s="23">
        <f t="shared" si="22"/>
        <v>1053</v>
      </c>
      <c r="AH106" s="23">
        <f t="shared" si="22"/>
        <v>1004</v>
      </c>
      <c r="AI106" s="23">
        <f t="shared" si="22"/>
        <v>1075</v>
      </c>
      <c r="AJ106" s="58">
        <f t="shared" si="14"/>
        <v>71</v>
      </c>
    </row>
    <row r="107" spans="2:36" ht="13.5" thickBot="1">
      <c r="B107" s="24" t="s">
        <v>108</v>
      </c>
      <c r="C107" s="25">
        <f>C94</f>
        <v>0</v>
      </c>
      <c r="D107" s="25">
        <f aca="true" t="shared" si="23" ref="D107:AI107">D94</f>
        <v>0</v>
      </c>
      <c r="E107" s="25">
        <f t="shared" si="23"/>
        <v>0</v>
      </c>
      <c r="F107" s="25">
        <f t="shared" si="23"/>
        <v>0</v>
      </c>
      <c r="G107" s="25">
        <f t="shared" si="23"/>
        <v>0</v>
      </c>
      <c r="H107" s="25">
        <f t="shared" si="23"/>
        <v>0</v>
      </c>
      <c r="I107" s="25">
        <f t="shared" si="23"/>
        <v>0</v>
      </c>
      <c r="J107" s="25">
        <f t="shared" si="23"/>
        <v>0</v>
      </c>
      <c r="K107" s="25">
        <f t="shared" si="23"/>
        <v>0</v>
      </c>
      <c r="L107" s="25">
        <f t="shared" si="23"/>
        <v>0</v>
      </c>
      <c r="M107" s="25">
        <f t="shared" si="23"/>
        <v>0</v>
      </c>
      <c r="N107" s="25">
        <f t="shared" si="23"/>
        <v>0</v>
      </c>
      <c r="O107" s="25">
        <f t="shared" si="23"/>
        <v>0</v>
      </c>
      <c r="P107" s="25">
        <f t="shared" si="23"/>
        <v>0</v>
      </c>
      <c r="Q107" s="25">
        <f t="shared" si="23"/>
        <v>0</v>
      </c>
      <c r="R107" s="25">
        <f t="shared" si="23"/>
        <v>0</v>
      </c>
      <c r="S107" s="25">
        <f t="shared" si="23"/>
        <v>0</v>
      </c>
      <c r="T107" s="25">
        <f t="shared" si="23"/>
        <v>0</v>
      </c>
      <c r="U107" s="25">
        <f t="shared" si="23"/>
        <v>0</v>
      </c>
      <c r="V107" s="25">
        <f t="shared" si="23"/>
        <v>0</v>
      </c>
      <c r="W107" s="25">
        <f t="shared" si="23"/>
        <v>0</v>
      </c>
      <c r="X107" s="25">
        <f t="shared" si="23"/>
        <v>0</v>
      </c>
      <c r="Y107" s="25">
        <f t="shared" si="23"/>
        <v>0</v>
      </c>
      <c r="Z107" s="25">
        <f t="shared" si="23"/>
        <v>0</v>
      </c>
      <c r="AA107" s="25">
        <f t="shared" si="23"/>
        <v>0</v>
      </c>
      <c r="AB107" s="25">
        <f t="shared" si="23"/>
        <v>0</v>
      </c>
      <c r="AC107" s="25">
        <f t="shared" si="23"/>
        <v>0</v>
      </c>
      <c r="AD107" s="25">
        <f t="shared" si="23"/>
        <v>0</v>
      </c>
      <c r="AE107" s="25">
        <f t="shared" si="23"/>
        <v>0</v>
      </c>
      <c r="AF107" s="25">
        <f t="shared" si="23"/>
        <v>0</v>
      </c>
      <c r="AG107" s="25">
        <f t="shared" si="23"/>
        <v>0</v>
      </c>
      <c r="AH107" s="25">
        <f t="shared" si="23"/>
        <v>0</v>
      </c>
      <c r="AI107" s="25">
        <f t="shared" si="23"/>
        <v>5</v>
      </c>
      <c r="AJ107" s="58">
        <f t="shared" si="14"/>
        <v>5</v>
      </c>
    </row>
    <row r="108" spans="2:36" ht="13.5" thickTop="1">
      <c r="B108" s="26" t="s">
        <v>36</v>
      </c>
      <c r="C108" s="56">
        <f>SUM(C97:C107)</f>
        <v>3804</v>
      </c>
      <c r="D108" s="56">
        <f aca="true" t="shared" si="24" ref="D108:AI108">SUM(D97:D107)</f>
        <v>4356</v>
      </c>
      <c r="E108" s="56">
        <f t="shared" si="24"/>
        <v>4181</v>
      </c>
      <c r="F108" s="56">
        <f t="shared" si="24"/>
        <v>4192</v>
      </c>
      <c r="G108" s="56">
        <f t="shared" si="24"/>
        <v>4180</v>
      </c>
      <c r="H108" s="56">
        <f t="shared" si="24"/>
        <v>4193</v>
      </c>
      <c r="I108" s="56">
        <f t="shared" si="24"/>
        <v>4406</v>
      </c>
      <c r="J108" s="56">
        <f t="shared" si="24"/>
        <v>4379</v>
      </c>
      <c r="K108" s="56">
        <f t="shared" si="24"/>
        <v>4327</v>
      </c>
      <c r="L108" s="56">
        <f t="shared" si="24"/>
        <v>4073</v>
      </c>
      <c r="M108" s="56">
        <f t="shared" si="24"/>
        <v>4576</v>
      </c>
      <c r="N108" s="56">
        <f t="shared" si="24"/>
        <v>4485</v>
      </c>
      <c r="O108" s="56">
        <f t="shared" si="24"/>
        <v>4596</v>
      </c>
      <c r="P108" s="56">
        <f t="shared" si="24"/>
        <v>4589</v>
      </c>
      <c r="Q108" s="56">
        <f t="shared" si="24"/>
        <v>4369</v>
      </c>
      <c r="R108" s="56">
        <f t="shared" si="24"/>
        <v>4504</v>
      </c>
      <c r="S108" s="56">
        <f t="shared" si="24"/>
        <v>4499</v>
      </c>
      <c r="T108" s="56">
        <f t="shared" si="24"/>
        <v>4411</v>
      </c>
      <c r="U108" s="56">
        <f t="shared" si="24"/>
        <v>4595</v>
      </c>
      <c r="V108" s="56">
        <f t="shared" si="24"/>
        <v>4602</v>
      </c>
      <c r="W108" s="56">
        <f t="shared" si="24"/>
        <v>4559</v>
      </c>
      <c r="X108" s="56">
        <f t="shared" si="24"/>
        <v>4434</v>
      </c>
      <c r="Y108" s="56">
        <f t="shared" si="24"/>
        <v>4754</v>
      </c>
      <c r="Z108" s="56">
        <f t="shared" si="24"/>
        <v>4294</v>
      </c>
      <c r="AA108" s="56">
        <f t="shared" si="24"/>
        <v>4795</v>
      </c>
      <c r="AB108" s="56">
        <f t="shared" si="24"/>
        <v>4719</v>
      </c>
      <c r="AC108" s="56">
        <f t="shared" si="24"/>
        <v>4522</v>
      </c>
      <c r="AD108" s="56">
        <f t="shared" si="24"/>
        <v>4734</v>
      </c>
      <c r="AE108" s="56">
        <f t="shared" si="24"/>
        <v>4624</v>
      </c>
      <c r="AF108" s="56">
        <f t="shared" si="24"/>
        <v>4894</v>
      </c>
      <c r="AG108" s="56">
        <f t="shared" si="24"/>
        <v>4752</v>
      </c>
      <c r="AH108" s="56">
        <f t="shared" si="24"/>
        <v>4612</v>
      </c>
      <c r="AI108" s="56">
        <f t="shared" si="24"/>
        <v>5096</v>
      </c>
      <c r="AJ108" s="58">
        <f t="shared" si="14"/>
        <v>484</v>
      </c>
    </row>
    <row r="109" spans="2:36" s="14" customFormat="1" ht="12.75">
      <c r="B109" s="67" t="s">
        <v>37</v>
      </c>
      <c r="C109" s="68">
        <f>SUM(C97:C99)</f>
        <v>1751</v>
      </c>
      <c r="D109" s="68">
        <f aca="true" t="shared" si="25" ref="D109:AI109">SUM(D97:D99)</f>
        <v>1969</v>
      </c>
      <c r="E109" s="68">
        <f t="shared" si="25"/>
        <v>1943</v>
      </c>
      <c r="F109" s="68">
        <f t="shared" si="25"/>
        <v>1932</v>
      </c>
      <c r="G109" s="68">
        <f t="shared" si="25"/>
        <v>1875</v>
      </c>
      <c r="H109" s="68">
        <f t="shared" si="25"/>
        <v>1914</v>
      </c>
      <c r="I109" s="68">
        <f t="shared" si="25"/>
        <v>1996</v>
      </c>
      <c r="J109" s="68">
        <f t="shared" si="25"/>
        <v>1993</v>
      </c>
      <c r="K109" s="68">
        <f t="shared" si="25"/>
        <v>1932</v>
      </c>
      <c r="L109" s="68">
        <f t="shared" si="25"/>
        <v>1781</v>
      </c>
      <c r="M109" s="68">
        <f t="shared" si="25"/>
        <v>2024</v>
      </c>
      <c r="N109" s="68">
        <f t="shared" si="25"/>
        <v>1951</v>
      </c>
      <c r="O109" s="68">
        <f t="shared" si="25"/>
        <v>2002</v>
      </c>
      <c r="P109" s="68">
        <f t="shared" si="25"/>
        <v>1990</v>
      </c>
      <c r="Q109" s="68">
        <f t="shared" si="25"/>
        <v>1928</v>
      </c>
      <c r="R109" s="68">
        <f t="shared" si="25"/>
        <v>1978</v>
      </c>
      <c r="S109" s="68">
        <f t="shared" si="25"/>
        <v>1925</v>
      </c>
      <c r="T109" s="68">
        <f t="shared" si="25"/>
        <v>1884</v>
      </c>
      <c r="U109" s="68">
        <f t="shared" si="25"/>
        <v>1987</v>
      </c>
      <c r="V109" s="68">
        <f t="shared" si="25"/>
        <v>2022</v>
      </c>
      <c r="W109" s="68">
        <f t="shared" si="25"/>
        <v>1957</v>
      </c>
      <c r="X109" s="68">
        <f t="shared" si="25"/>
        <v>1897</v>
      </c>
      <c r="Y109" s="68">
        <f t="shared" si="25"/>
        <v>1982</v>
      </c>
      <c r="Z109" s="68">
        <f t="shared" si="25"/>
        <v>1796</v>
      </c>
      <c r="AA109" s="68">
        <f t="shared" si="25"/>
        <v>1981</v>
      </c>
      <c r="AB109" s="68">
        <f t="shared" si="25"/>
        <v>1902</v>
      </c>
      <c r="AC109" s="68">
        <f t="shared" si="25"/>
        <v>1852</v>
      </c>
      <c r="AD109" s="68">
        <f t="shared" si="25"/>
        <v>1921</v>
      </c>
      <c r="AE109" s="68">
        <f t="shared" si="25"/>
        <v>1847</v>
      </c>
      <c r="AF109" s="68">
        <f t="shared" si="25"/>
        <v>1965</v>
      </c>
      <c r="AG109" s="68">
        <f t="shared" si="25"/>
        <v>1904</v>
      </c>
      <c r="AH109" s="68">
        <f t="shared" si="25"/>
        <v>1866</v>
      </c>
      <c r="AI109" s="68">
        <f t="shared" si="25"/>
        <v>2073</v>
      </c>
      <c r="AJ109" s="58">
        <f t="shared" si="14"/>
        <v>207</v>
      </c>
    </row>
    <row r="110" spans="2:36" s="14" customFormat="1" ht="13.5" thickBot="1">
      <c r="B110" s="64" t="s">
        <v>68</v>
      </c>
      <c r="C110" s="66">
        <f>C97+C98+C100+C101+C102</f>
        <v>2811</v>
      </c>
      <c r="D110" s="66">
        <f aca="true" t="shared" si="26" ref="D110:AI110">D97+D98+D100+D101+D102</f>
        <v>3181</v>
      </c>
      <c r="E110" s="66">
        <f t="shared" si="26"/>
        <v>3121</v>
      </c>
      <c r="F110" s="66">
        <f t="shared" si="26"/>
        <v>3108</v>
      </c>
      <c r="G110" s="66">
        <f t="shared" si="26"/>
        <v>3071</v>
      </c>
      <c r="H110" s="66">
        <f t="shared" si="26"/>
        <v>3114</v>
      </c>
      <c r="I110" s="66">
        <f t="shared" si="26"/>
        <v>3246</v>
      </c>
      <c r="J110" s="66">
        <f t="shared" si="26"/>
        <v>3238</v>
      </c>
      <c r="K110" s="66">
        <f t="shared" si="26"/>
        <v>3209</v>
      </c>
      <c r="L110" s="66">
        <f t="shared" si="26"/>
        <v>3013</v>
      </c>
      <c r="M110" s="66">
        <f t="shared" si="26"/>
        <v>3358</v>
      </c>
      <c r="N110" s="66">
        <f t="shared" si="26"/>
        <v>3335</v>
      </c>
      <c r="O110" s="66">
        <f t="shared" si="26"/>
        <v>3393</v>
      </c>
      <c r="P110" s="66">
        <f t="shared" si="26"/>
        <v>3400</v>
      </c>
      <c r="Q110" s="66">
        <f t="shared" si="26"/>
        <v>3232</v>
      </c>
      <c r="R110" s="66">
        <f t="shared" si="26"/>
        <v>3320</v>
      </c>
      <c r="S110" s="66">
        <f t="shared" si="26"/>
        <v>3272</v>
      </c>
      <c r="T110" s="66">
        <f t="shared" si="26"/>
        <v>3199</v>
      </c>
      <c r="U110" s="66">
        <f t="shared" si="26"/>
        <v>3357</v>
      </c>
      <c r="V110" s="66">
        <f t="shared" si="26"/>
        <v>3344</v>
      </c>
      <c r="W110" s="66">
        <f t="shared" si="26"/>
        <v>3345</v>
      </c>
      <c r="X110" s="66">
        <f t="shared" si="26"/>
        <v>3230</v>
      </c>
      <c r="Y110" s="66">
        <f t="shared" si="26"/>
        <v>3460</v>
      </c>
      <c r="Z110" s="66">
        <f t="shared" si="26"/>
        <v>3148</v>
      </c>
      <c r="AA110" s="66">
        <f t="shared" si="26"/>
        <v>3505</v>
      </c>
      <c r="AB110" s="66">
        <f t="shared" si="26"/>
        <v>3427</v>
      </c>
      <c r="AC110" s="66">
        <f t="shared" si="26"/>
        <v>3313</v>
      </c>
      <c r="AD110" s="66">
        <f t="shared" si="26"/>
        <v>3443</v>
      </c>
      <c r="AE110" s="66">
        <f t="shared" si="26"/>
        <v>3359</v>
      </c>
      <c r="AF110" s="66">
        <f t="shared" si="26"/>
        <v>3541</v>
      </c>
      <c r="AG110" s="66">
        <f t="shared" si="26"/>
        <v>3439</v>
      </c>
      <c r="AH110" s="66">
        <f t="shared" si="26"/>
        <v>3358</v>
      </c>
      <c r="AI110" s="66">
        <f t="shared" si="26"/>
        <v>3723</v>
      </c>
      <c r="AJ110" s="58">
        <f t="shared" si="14"/>
        <v>365</v>
      </c>
    </row>
    <row r="111" spans="2:35" s="14" customFormat="1" ht="13.5" thickTop="1">
      <c r="B111" s="1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</row>
    <row r="112" spans="2:35" s="14" customFormat="1" ht="12.75">
      <c r="B112" s="15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spans="2:35" ht="12.75"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</row>
    <row r="114" spans="2:35" ht="13.5" thickBot="1">
      <c r="B114" s="57" t="s">
        <v>0</v>
      </c>
      <c r="C114" s="55">
        <v>38108</v>
      </c>
      <c r="D114" s="55">
        <v>38139</v>
      </c>
      <c r="E114" s="55">
        <v>38169</v>
      </c>
      <c r="F114" s="55">
        <v>38200</v>
      </c>
      <c r="G114" s="55">
        <v>38231</v>
      </c>
      <c r="H114" s="55">
        <v>38261</v>
      </c>
      <c r="I114" s="55">
        <v>38292</v>
      </c>
      <c r="J114" s="55">
        <v>38322</v>
      </c>
      <c r="K114" s="55">
        <v>38353</v>
      </c>
      <c r="L114" s="55">
        <v>38384</v>
      </c>
      <c r="M114" s="55">
        <v>38412</v>
      </c>
      <c r="N114" s="55">
        <v>38443</v>
      </c>
      <c r="O114" s="55">
        <v>38473</v>
      </c>
      <c r="P114" s="55">
        <v>38504</v>
      </c>
      <c r="Q114" s="55">
        <v>38534</v>
      </c>
      <c r="R114" s="55">
        <v>38565</v>
      </c>
      <c r="S114" s="55">
        <v>38596</v>
      </c>
      <c r="T114" s="55">
        <v>38626</v>
      </c>
      <c r="U114" s="55">
        <v>38657</v>
      </c>
      <c r="V114" s="55">
        <v>38687</v>
      </c>
      <c r="W114" s="55">
        <v>38718</v>
      </c>
      <c r="X114" s="55">
        <v>38749</v>
      </c>
      <c r="Y114" s="55">
        <v>38777</v>
      </c>
      <c r="Z114" s="55">
        <v>38808</v>
      </c>
      <c r="AA114" s="55">
        <v>38838</v>
      </c>
      <c r="AB114" s="55">
        <v>38869</v>
      </c>
      <c r="AC114" s="55">
        <v>38899</v>
      </c>
      <c r="AD114" s="55">
        <v>38930</v>
      </c>
      <c r="AE114" s="55">
        <v>38961</v>
      </c>
      <c r="AF114" s="55">
        <v>38991</v>
      </c>
      <c r="AG114" s="55">
        <v>39022</v>
      </c>
      <c r="AH114" s="55">
        <v>39052</v>
      </c>
      <c r="AI114" s="55">
        <v>39083</v>
      </c>
    </row>
    <row r="115" spans="2:35" ht="13.5" thickTop="1">
      <c r="B115" s="30" t="s">
        <v>27</v>
      </c>
      <c r="C115" s="31">
        <f aca="true" t="shared" si="27" ref="C115:C127">C97/C$108</f>
        <v>0.1508937960042061</v>
      </c>
      <c r="D115" s="31">
        <f aca="true" t="shared" si="28" ref="D115:R115">D97/D$108</f>
        <v>0.15036730945821855</v>
      </c>
      <c r="E115" s="31">
        <f t="shared" si="28"/>
        <v>0.14828988280315714</v>
      </c>
      <c r="F115" s="31">
        <f t="shared" si="28"/>
        <v>0.15052480916030533</v>
      </c>
      <c r="G115" s="31">
        <f t="shared" si="28"/>
        <v>0.1456937799043062</v>
      </c>
      <c r="H115" s="31">
        <f t="shared" si="28"/>
        <v>0.14571905556880516</v>
      </c>
      <c r="I115" s="31">
        <f t="shared" si="28"/>
        <v>0.14230594643667727</v>
      </c>
      <c r="J115" s="31">
        <f t="shared" si="28"/>
        <v>0.14226992464032884</v>
      </c>
      <c r="K115" s="31">
        <f t="shared" si="28"/>
        <v>0.137046452507511</v>
      </c>
      <c r="L115" s="31">
        <f t="shared" si="28"/>
        <v>0.14092806285293397</v>
      </c>
      <c r="M115" s="31">
        <f t="shared" si="28"/>
        <v>0.13898601398601398</v>
      </c>
      <c r="N115" s="31">
        <f t="shared" si="28"/>
        <v>0.14091415830546267</v>
      </c>
      <c r="O115" s="31">
        <f t="shared" si="28"/>
        <v>0.14251523063533508</v>
      </c>
      <c r="P115" s="31">
        <f t="shared" si="28"/>
        <v>0.1418609718893005</v>
      </c>
      <c r="Q115" s="31">
        <f t="shared" si="28"/>
        <v>0.15152208743419546</v>
      </c>
      <c r="R115" s="31">
        <f t="shared" si="28"/>
        <v>0.15541740674955595</v>
      </c>
      <c r="S115" s="31">
        <f aca="true" t="shared" si="29" ref="S115:AB115">S97/S$108</f>
        <v>0.15336741498110693</v>
      </c>
      <c r="T115" s="31">
        <f t="shared" si="29"/>
        <v>0.15211970074812967</v>
      </c>
      <c r="U115" s="31">
        <f t="shared" si="29"/>
        <v>0.15995647442872687</v>
      </c>
      <c r="V115" s="31">
        <f t="shared" si="29"/>
        <v>0.16449369839200348</v>
      </c>
      <c r="W115" s="31">
        <f t="shared" si="29"/>
        <v>0.15968414125904803</v>
      </c>
      <c r="X115" s="31">
        <f t="shared" si="29"/>
        <v>0.15877311682453765</v>
      </c>
      <c r="Y115" s="31">
        <f t="shared" si="29"/>
        <v>0.15671013883045856</v>
      </c>
      <c r="Z115" s="31">
        <f t="shared" si="29"/>
        <v>0.15975780158360503</v>
      </c>
      <c r="AA115" s="31">
        <f t="shared" si="29"/>
        <v>0.15954118873826903</v>
      </c>
      <c r="AB115" s="31">
        <f t="shared" si="29"/>
        <v>0.15808433990252171</v>
      </c>
      <c r="AC115" s="31">
        <f aca="true" t="shared" si="30" ref="AC115:AH123">AC97/AC$108</f>
        <v>0.16231755860238833</v>
      </c>
      <c r="AD115" s="31">
        <f t="shared" si="30"/>
        <v>0.15378115758343897</v>
      </c>
      <c r="AE115" s="31">
        <f t="shared" si="30"/>
        <v>0.155060553633218</v>
      </c>
      <c r="AF115" s="31">
        <f t="shared" si="30"/>
        <v>0.15161422149570902</v>
      </c>
      <c r="AG115" s="31">
        <f t="shared" si="30"/>
        <v>0.15172558922558924</v>
      </c>
      <c r="AH115" s="31">
        <f t="shared" si="30"/>
        <v>0.15719861231569818</v>
      </c>
      <c r="AI115" s="31">
        <f aca="true" t="shared" si="31" ref="AI115:AI127">AI97/AI$108</f>
        <v>0.15266875981161696</v>
      </c>
    </row>
    <row r="116" spans="2:35" ht="12.75">
      <c r="B116" s="22" t="s">
        <v>28</v>
      </c>
      <c r="C116" s="27">
        <f t="shared" si="27"/>
        <v>0.3094111461619348</v>
      </c>
      <c r="D116" s="27">
        <f aca="true" t="shared" si="32" ref="D116:R116">D98/D$108</f>
        <v>0.30165289256198347</v>
      </c>
      <c r="E116" s="27">
        <f t="shared" si="32"/>
        <v>0.3164314757235111</v>
      </c>
      <c r="F116" s="27">
        <f t="shared" si="32"/>
        <v>0.3103530534351145</v>
      </c>
      <c r="G116" s="27">
        <f t="shared" si="32"/>
        <v>0.3028708133971292</v>
      </c>
      <c r="H116" s="27">
        <f t="shared" si="32"/>
        <v>0.3107560219413308</v>
      </c>
      <c r="I116" s="27">
        <f t="shared" si="32"/>
        <v>0.3107126645483432</v>
      </c>
      <c r="J116" s="27">
        <f t="shared" si="32"/>
        <v>0.3128568166248002</v>
      </c>
      <c r="K116" s="27">
        <f t="shared" si="32"/>
        <v>0.30945227640397505</v>
      </c>
      <c r="L116" s="27">
        <f t="shared" si="32"/>
        <v>0.29634176282838204</v>
      </c>
      <c r="M116" s="27">
        <f t="shared" si="32"/>
        <v>0.30332167832167833</v>
      </c>
      <c r="N116" s="27">
        <f t="shared" si="32"/>
        <v>0.29409141583054627</v>
      </c>
      <c r="O116" s="27">
        <f t="shared" si="32"/>
        <v>0.29308093994778067</v>
      </c>
      <c r="P116" s="27">
        <f t="shared" si="32"/>
        <v>0.29178470254957506</v>
      </c>
      <c r="Q116" s="27">
        <f t="shared" si="32"/>
        <v>0.2897688258182651</v>
      </c>
      <c r="R116" s="27">
        <f t="shared" si="32"/>
        <v>0.28374777975133214</v>
      </c>
      <c r="S116" s="27">
        <f aca="true" t="shared" si="33" ref="S116:AB116">S98/S$108</f>
        <v>0.2745054456545899</v>
      </c>
      <c r="T116" s="27">
        <f t="shared" si="33"/>
        <v>0.27499433235094084</v>
      </c>
      <c r="U116" s="27">
        <f t="shared" si="33"/>
        <v>0.2724700761697497</v>
      </c>
      <c r="V116" s="27">
        <f t="shared" si="33"/>
        <v>0.2748804867448935</v>
      </c>
      <c r="W116" s="27">
        <f t="shared" si="33"/>
        <v>0.26957666154858523</v>
      </c>
      <c r="X116" s="27">
        <f t="shared" si="33"/>
        <v>0.2690572846188543</v>
      </c>
      <c r="Y116" s="27">
        <f t="shared" si="33"/>
        <v>0.26020193521245266</v>
      </c>
      <c r="Z116" s="27">
        <f t="shared" si="33"/>
        <v>0.2585002328830927</v>
      </c>
      <c r="AA116" s="27">
        <f t="shared" si="33"/>
        <v>0.2535974973931178</v>
      </c>
      <c r="AB116" s="27">
        <f t="shared" si="33"/>
        <v>0.24390760754397117</v>
      </c>
      <c r="AC116" s="27">
        <f t="shared" si="30"/>
        <v>0.245687748783724</v>
      </c>
      <c r="AD116" s="27">
        <f t="shared" si="30"/>
        <v>0.24947190536544148</v>
      </c>
      <c r="AE116" s="27">
        <f t="shared" si="30"/>
        <v>0.24178200692041524</v>
      </c>
      <c r="AF116" s="27">
        <f t="shared" si="30"/>
        <v>0.24478953821005311</v>
      </c>
      <c r="AG116" s="27">
        <f t="shared" si="30"/>
        <v>0.2438973063973064</v>
      </c>
      <c r="AH116" s="27">
        <f t="shared" si="30"/>
        <v>0.24002601908065915</v>
      </c>
      <c r="AI116" s="27">
        <f t="shared" si="31"/>
        <v>0.24627158555729983</v>
      </c>
    </row>
    <row r="117" spans="2:35" ht="12.75">
      <c r="B117" s="22" t="s">
        <v>54</v>
      </c>
      <c r="C117" s="27">
        <f t="shared" si="27"/>
        <v>0</v>
      </c>
      <c r="D117" s="27">
        <f aca="true" t="shared" si="34" ref="D117:R117">D99/D$108</f>
        <v>0</v>
      </c>
      <c r="E117" s="27">
        <f t="shared" si="34"/>
        <v>0</v>
      </c>
      <c r="F117" s="27">
        <f t="shared" si="34"/>
        <v>0</v>
      </c>
      <c r="G117" s="27">
        <f t="shared" si="34"/>
        <v>0</v>
      </c>
      <c r="H117" s="27">
        <f t="shared" si="34"/>
        <v>0</v>
      </c>
      <c r="I117" s="27">
        <f t="shared" si="34"/>
        <v>0</v>
      </c>
      <c r="J117" s="27">
        <f t="shared" si="34"/>
        <v>0</v>
      </c>
      <c r="K117" s="27">
        <f t="shared" si="34"/>
        <v>0</v>
      </c>
      <c r="L117" s="27">
        <f t="shared" si="34"/>
        <v>0</v>
      </c>
      <c r="M117" s="27">
        <f t="shared" si="34"/>
        <v>0</v>
      </c>
      <c r="N117" s="27">
        <f t="shared" si="34"/>
        <v>0</v>
      </c>
      <c r="O117" s="27">
        <f t="shared" si="34"/>
        <v>0</v>
      </c>
      <c r="P117" s="27">
        <f t="shared" si="34"/>
        <v>0</v>
      </c>
      <c r="Q117" s="27">
        <f t="shared" si="34"/>
        <v>0</v>
      </c>
      <c r="R117" s="27">
        <f t="shared" si="34"/>
        <v>0</v>
      </c>
      <c r="S117" s="27">
        <f aca="true" t="shared" si="35" ref="S117:AB117">S99/S$108</f>
        <v>0</v>
      </c>
      <c r="T117" s="27">
        <f t="shared" si="35"/>
        <v>0</v>
      </c>
      <c r="U117" s="27">
        <f t="shared" si="35"/>
        <v>0</v>
      </c>
      <c r="V117" s="27">
        <f t="shared" si="35"/>
        <v>0</v>
      </c>
      <c r="W117" s="27">
        <f t="shared" si="35"/>
        <v>0</v>
      </c>
      <c r="X117" s="27">
        <f t="shared" si="35"/>
        <v>0</v>
      </c>
      <c r="Y117" s="27">
        <f t="shared" si="35"/>
        <v>0</v>
      </c>
      <c r="Z117" s="27">
        <f t="shared" si="35"/>
        <v>0</v>
      </c>
      <c r="AA117" s="27">
        <f t="shared" si="35"/>
        <v>0</v>
      </c>
      <c r="AB117" s="27">
        <f t="shared" si="35"/>
        <v>0.0010595465140919686</v>
      </c>
      <c r="AC117" s="27">
        <f t="shared" si="30"/>
        <v>0.0015479876160990713</v>
      </c>
      <c r="AD117" s="27">
        <f t="shared" si="30"/>
        <v>0.0025348542458808617</v>
      </c>
      <c r="AE117" s="27">
        <f t="shared" si="30"/>
        <v>0.0025951557093425604</v>
      </c>
      <c r="AF117" s="27">
        <f t="shared" si="30"/>
        <v>0.005108295872496935</v>
      </c>
      <c r="AG117" s="27">
        <f t="shared" si="30"/>
        <v>0.005050505050505051</v>
      </c>
      <c r="AH117" s="27">
        <f t="shared" si="30"/>
        <v>0.007372072853425846</v>
      </c>
      <c r="AI117" s="27">
        <f t="shared" si="31"/>
        <v>0.007849293563579277</v>
      </c>
    </row>
    <row r="118" spans="2:35" ht="12.75">
      <c r="B118" s="22" t="s">
        <v>29</v>
      </c>
      <c r="C118" s="27">
        <f t="shared" si="27"/>
        <v>0.05651945320715037</v>
      </c>
      <c r="D118" s="27">
        <f aca="true" t="shared" si="36" ref="D118:R118">D100/D$108</f>
        <v>0.05417814508723599</v>
      </c>
      <c r="E118" s="27">
        <f t="shared" si="36"/>
        <v>0.05524994020569242</v>
      </c>
      <c r="F118" s="27">
        <f t="shared" si="36"/>
        <v>0.05271946564885496</v>
      </c>
      <c r="G118" s="27">
        <f t="shared" si="36"/>
        <v>0.050239234449760764</v>
      </c>
      <c r="H118" s="27">
        <f t="shared" si="36"/>
        <v>0.0531838778917243</v>
      </c>
      <c r="I118" s="27">
        <f t="shared" si="36"/>
        <v>0.04857013163867453</v>
      </c>
      <c r="J118" s="27">
        <f t="shared" si="36"/>
        <v>0.05092486869148207</v>
      </c>
      <c r="K118" s="27">
        <f t="shared" si="36"/>
        <v>0.05246128957707419</v>
      </c>
      <c r="L118" s="27">
        <f t="shared" si="36"/>
        <v>0.05769702921679352</v>
      </c>
      <c r="M118" s="27">
        <f t="shared" si="36"/>
        <v>0.049169580419580416</v>
      </c>
      <c r="N118" s="27">
        <f t="shared" si="36"/>
        <v>0.055741360089186176</v>
      </c>
      <c r="O118" s="27">
        <f t="shared" si="36"/>
        <v>0.050478677110530897</v>
      </c>
      <c r="P118" s="27">
        <f t="shared" si="36"/>
        <v>0.05208106341250817</v>
      </c>
      <c r="Q118" s="27">
        <f t="shared" si="36"/>
        <v>0.04966811627374685</v>
      </c>
      <c r="R118" s="27">
        <f t="shared" si="36"/>
        <v>0.052619893428063946</v>
      </c>
      <c r="S118" s="27">
        <f aca="true" t="shared" si="37" ref="S118:AB118">S100/S$108</f>
        <v>0.04867748388530785</v>
      </c>
      <c r="T118" s="27">
        <f t="shared" si="37"/>
        <v>0.0510088415325323</v>
      </c>
      <c r="U118" s="27">
        <f t="shared" si="37"/>
        <v>0.05005440696409141</v>
      </c>
      <c r="V118" s="27">
        <f t="shared" si="37"/>
        <v>0.051064754454584964</v>
      </c>
      <c r="W118" s="27">
        <f t="shared" si="37"/>
        <v>0.0539592015792937</v>
      </c>
      <c r="X118" s="27">
        <f t="shared" si="37"/>
        <v>0.04736129905277402</v>
      </c>
      <c r="Y118" s="27">
        <f t="shared" si="37"/>
        <v>0.049221708035338665</v>
      </c>
      <c r="Z118" s="27">
        <f t="shared" si="37"/>
        <v>0.04564508616674429</v>
      </c>
      <c r="AA118" s="27">
        <f t="shared" si="37"/>
        <v>0.047966631908237745</v>
      </c>
      <c r="AB118" s="27">
        <f t="shared" si="37"/>
        <v>0.04619622801440983</v>
      </c>
      <c r="AC118" s="27">
        <f t="shared" si="30"/>
        <v>0.04599734630694383</v>
      </c>
      <c r="AD118" s="27">
        <f t="shared" si="30"/>
        <v>0.046261089987325726</v>
      </c>
      <c r="AE118" s="27">
        <f t="shared" si="30"/>
        <v>0.04757785467128028</v>
      </c>
      <c r="AF118" s="27">
        <f t="shared" si="30"/>
        <v>0.04617899468737229</v>
      </c>
      <c r="AG118" s="27">
        <f t="shared" si="30"/>
        <v>0.045664983164983165</v>
      </c>
      <c r="AH118" s="27">
        <f t="shared" si="30"/>
        <v>0.042931483087597574</v>
      </c>
      <c r="AI118" s="27">
        <f t="shared" si="31"/>
        <v>0.04140502354788069</v>
      </c>
    </row>
    <row r="119" spans="2:35" ht="12.75">
      <c r="B119" s="22" t="s">
        <v>30</v>
      </c>
      <c r="C119" s="27">
        <f t="shared" si="27"/>
        <v>0.20557308096740273</v>
      </c>
      <c r="D119" s="27">
        <f aca="true" t="shared" si="38" ref="D119:R119">D101/D$108</f>
        <v>0.19788797061524335</v>
      </c>
      <c r="E119" s="27">
        <f t="shared" si="38"/>
        <v>0.19469026548672566</v>
      </c>
      <c r="F119" s="27">
        <f t="shared" si="38"/>
        <v>0.1987118320610687</v>
      </c>
      <c r="G119" s="27">
        <f t="shared" si="38"/>
        <v>0.20311004784688996</v>
      </c>
      <c r="H119" s="27">
        <f t="shared" si="38"/>
        <v>0.1981874552826139</v>
      </c>
      <c r="I119" s="27">
        <f t="shared" si="38"/>
        <v>0.20040853381752155</v>
      </c>
      <c r="J119" s="27">
        <f t="shared" si="38"/>
        <v>0.20552637588490522</v>
      </c>
      <c r="K119" s="27">
        <f t="shared" si="38"/>
        <v>0.20961405130575456</v>
      </c>
      <c r="L119" s="27">
        <f t="shared" si="38"/>
        <v>0.21114657500613798</v>
      </c>
      <c r="M119" s="27">
        <f t="shared" si="38"/>
        <v>0.20476398601398602</v>
      </c>
      <c r="N119" s="27">
        <f t="shared" si="38"/>
        <v>0.2129319955406912</v>
      </c>
      <c r="O119" s="27">
        <f t="shared" si="38"/>
        <v>0.2093124456048738</v>
      </c>
      <c r="P119" s="27">
        <f t="shared" si="38"/>
        <v>0.20897799084767923</v>
      </c>
      <c r="Q119" s="27">
        <f t="shared" si="38"/>
        <v>0.20668345159075302</v>
      </c>
      <c r="R119" s="27">
        <f t="shared" si="38"/>
        <v>0.20093250444049734</v>
      </c>
      <c r="S119" s="27">
        <f aca="true" t="shared" si="39" ref="S119:AB119">S101/S$108</f>
        <v>0.20560124472104913</v>
      </c>
      <c r="T119" s="27">
        <f t="shared" si="39"/>
        <v>0.19814101110859217</v>
      </c>
      <c r="U119" s="27">
        <f t="shared" si="39"/>
        <v>0.19956474428726878</v>
      </c>
      <c r="V119" s="27">
        <f t="shared" si="39"/>
        <v>0.18817905258583226</v>
      </c>
      <c r="W119" s="27">
        <f t="shared" si="39"/>
        <v>0.19982452292169336</v>
      </c>
      <c r="X119" s="27">
        <f t="shared" si="39"/>
        <v>0.19215155615696888</v>
      </c>
      <c r="Y119" s="27">
        <f t="shared" si="39"/>
        <v>0.19204880100967606</v>
      </c>
      <c r="Z119" s="27">
        <f t="shared" si="39"/>
        <v>0.19259431765253843</v>
      </c>
      <c r="AA119" s="27">
        <f t="shared" si="39"/>
        <v>0.1910323253388947</v>
      </c>
      <c r="AB119" s="27">
        <f t="shared" si="39"/>
        <v>0.19220173765628312</v>
      </c>
      <c r="AC119" s="27">
        <f t="shared" si="30"/>
        <v>0.19349845201238391</v>
      </c>
      <c r="AD119" s="27">
        <f t="shared" si="30"/>
        <v>0.19180397127165189</v>
      </c>
      <c r="AE119" s="27">
        <f t="shared" si="30"/>
        <v>0.19247404844290658</v>
      </c>
      <c r="AF119" s="27">
        <f t="shared" si="30"/>
        <v>0.1834899877400899</v>
      </c>
      <c r="AG119" s="27">
        <f t="shared" si="30"/>
        <v>0.18265993265993266</v>
      </c>
      <c r="AH119" s="27">
        <f t="shared" si="30"/>
        <v>0.1901561144839549</v>
      </c>
      <c r="AI119" s="27">
        <f t="shared" si="31"/>
        <v>0.19171899529042385</v>
      </c>
    </row>
    <row r="120" spans="2:35" ht="12.75">
      <c r="B120" s="22" t="s">
        <v>31</v>
      </c>
      <c r="C120" s="27">
        <f t="shared" si="27"/>
        <v>0.016561514195583597</v>
      </c>
      <c r="D120" s="27">
        <f aca="true" t="shared" si="40" ref="D120:R120">D102/D$108</f>
        <v>0.026170798898071626</v>
      </c>
      <c r="E120" s="27">
        <f t="shared" si="40"/>
        <v>0.03181057163358048</v>
      </c>
      <c r="F120" s="27">
        <f t="shared" si="40"/>
        <v>0.029103053435114504</v>
      </c>
      <c r="G120" s="27">
        <f t="shared" si="40"/>
        <v>0.03277511961722488</v>
      </c>
      <c r="H120" s="27">
        <f t="shared" si="40"/>
        <v>0.034819937991891245</v>
      </c>
      <c r="I120" s="27">
        <f t="shared" si="40"/>
        <v>0.03472537448933273</v>
      </c>
      <c r="J120" s="27">
        <f t="shared" si="40"/>
        <v>0.027860242064398265</v>
      </c>
      <c r="K120" s="27">
        <f t="shared" si="40"/>
        <v>0.03304830136353132</v>
      </c>
      <c r="L120" s="27">
        <f t="shared" si="40"/>
        <v>0.03363614043702431</v>
      </c>
      <c r="M120" s="27">
        <f t="shared" si="40"/>
        <v>0.037587412587412584</v>
      </c>
      <c r="N120" s="27">
        <f t="shared" si="40"/>
        <v>0.039910813823857305</v>
      </c>
      <c r="O120" s="27">
        <f t="shared" si="40"/>
        <v>0.04286335944299391</v>
      </c>
      <c r="P120" s="27">
        <f t="shared" si="40"/>
        <v>0.04619742863368926</v>
      </c>
      <c r="Q120" s="27">
        <f t="shared" si="40"/>
        <v>0.04211490043488213</v>
      </c>
      <c r="R120" s="27">
        <f t="shared" si="40"/>
        <v>0.04440497335701599</v>
      </c>
      <c r="S120" s="27">
        <f aca="true" t="shared" si="41" ref="S120:AB120">S102/S$108</f>
        <v>0.04512113803067348</v>
      </c>
      <c r="T120" s="27">
        <f t="shared" si="41"/>
        <v>0.048968487871231016</v>
      </c>
      <c r="U120" s="27">
        <f t="shared" si="41"/>
        <v>0.0485310119695321</v>
      </c>
      <c r="V120" s="27">
        <f t="shared" si="41"/>
        <v>0.0480225988700565</v>
      </c>
      <c r="W120" s="27">
        <f t="shared" si="41"/>
        <v>0.050669006361044086</v>
      </c>
      <c r="X120" s="27">
        <f t="shared" si="41"/>
        <v>0.06111862877762742</v>
      </c>
      <c r="Y120" s="27">
        <f t="shared" si="41"/>
        <v>0.069625578460244</v>
      </c>
      <c r="Z120" s="27">
        <f t="shared" si="41"/>
        <v>0.07661853749417792</v>
      </c>
      <c r="AA120" s="27">
        <f t="shared" si="41"/>
        <v>0.07883211678832117</v>
      </c>
      <c r="AB120" s="27">
        <f t="shared" si="41"/>
        <v>0.08582326764144946</v>
      </c>
      <c r="AC120" s="27">
        <f t="shared" si="30"/>
        <v>0.08513931888544891</v>
      </c>
      <c r="AD120" s="27">
        <f t="shared" si="30"/>
        <v>0.08597380650612589</v>
      </c>
      <c r="AE120" s="27">
        <f t="shared" si="30"/>
        <v>0.08953287197231834</v>
      </c>
      <c r="AF120" s="27">
        <f t="shared" si="30"/>
        <v>0.09746628524724152</v>
      </c>
      <c r="AG120" s="27">
        <f t="shared" si="30"/>
        <v>0.09974747474747475</v>
      </c>
      <c r="AH120" s="27">
        <f t="shared" si="30"/>
        <v>0.09778837814397225</v>
      </c>
      <c r="AI120" s="27">
        <f t="shared" si="31"/>
        <v>0.09850863422291994</v>
      </c>
    </row>
    <row r="121" spans="2:35" ht="12.75">
      <c r="B121" s="22" t="s">
        <v>32</v>
      </c>
      <c r="C121" s="27">
        <f t="shared" si="27"/>
        <v>0</v>
      </c>
      <c r="D121" s="27">
        <f aca="true" t="shared" si="42" ref="D121:R121">D103/D$108</f>
        <v>0</v>
      </c>
      <c r="E121" s="27">
        <f t="shared" si="42"/>
        <v>0</v>
      </c>
      <c r="F121" s="27">
        <f t="shared" si="42"/>
        <v>0</v>
      </c>
      <c r="G121" s="27">
        <f t="shared" si="42"/>
        <v>0</v>
      </c>
      <c r="H121" s="27">
        <f t="shared" si="42"/>
        <v>0</v>
      </c>
      <c r="I121" s="27">
        <f t="shared" si="42"/>
        <v>0</v>
      </c>
      <c r="J121" s="27">
        <f t="shared" si="42"/>
        <v>0</v>
      </c>
      <c r="K121" s="27">
        <f t="shared" si="42"/>
        <v>0.0011555350127108851</v>
      </c>
      <c r="L121" s="27">
        <f t="shared" si="42"/>
        <v>0.0031917505524183647</v>
      </c>
      <c r="M121" s="27">
        <f t="shared" si="42"/>
        <v>0.006555944055944056</v>
      </c>
      <c r="N121" s="27">
        <f t="shared" si="42"/>
        <v>0.009364548494983277</v>
      </c>
      <c r="O121" s="27">
        <f t="shared" si="42"/>
        <v>0.0097911227154047</v>
      </c>
      <c r="P121" s="27">
        <f t="shared" si="42"/>
        <v>0.016343429941163654</v>
      </c>
      <c r="Q121" s="27">
        <f t="shared" si="42"/>
        <v>0.015106431677729458</v>
      </c>
      <c r="R121" s="27">
        <f t="shared" si="42"/>
        <v>0.016873889875666074</v>
      </c>
      <c r="S121" s="27">
        <f aca="true" t="shared" si="43" ref="S121:AB121">S103/S$108</f>
        <v>0.022893976439208714</v>
      </c>
      <c r="T121" s="27">
        <f t="shared" si="43"/>
        <v>0.023350714123781455</v>
      </c>
      <c r="U121" s="27">
        <f t="shared" si="43"/>
        <v>0.022633297062023938</v>
      </c>
      <c r="V121" s="27">
        <f t="shared" si="43"/>
        <v>0.027379400260756193</v>
      </c>
      <c r="W121" s="27">
        <f t="shared" si="43"/>
        <v>0.02697960078964685</v>
      </c>
      <c r="X121" s="27">
        <f t="shared" si="43"/>
        <v>0.033152909336941816</v>
      </c>
      <c r="Y121" s="27">
        <f t="shared" si="43"/>
        <v>0.03155237694572991</v>
      </c>
      <c r="Z121" s="27">
        <f t="shared" si="43"/>
        <v>0.027713088029809037</v>
      </c>
      <c r="AA121" s="27">
        <f t="shared" si="43"/>
        <v>0.02961418143899896</v>
      </c>
      <c r="AB121" s="27">
        <f t="shared" si="43"/>
        <v>0.029879211697393517</v>
      </c>
      <c r="AC121" s="27">
        <f t="shared" si="30"/>
        <v>0.031180893409995577</v>
      </c>
      <c r="AD121" s="27">
        <f t="shared" si="30"/>
        <v>0.02999577524292353</v>
      </c>
      <c r="AE121" s="27">
        <f t="shared" si="30"/>
        <v>0.03027681660899654</v>
      </c>
      <c r="AF121" s="27">
        <f t="shared" si="30"/>
        <v>0.032488761749080504</v>
      </c>
      <c r="AG121" s="27">
        <f t="shared" si="30"/>
        <v>0.032407407407407406</v>
      </c>
      <c r="AH121" s="27">
        <f t="shared" si="30"/>
        <v>0.030138768430182133</v>
      </c>
      <c r="AI121" s="27">
        <f t="shared" si="31"/>
        <v>0.03159340659340659</v>
      </c>
    </row>
    <row r="122" spans="2:35" ht="12.75">
      <c r="B122" s="22" t="s">
        <v>33</v>
      </c>
      <c r="C122" s="27">
        <f t="shared" si="27"/>
        <v>0</v>
      </c>
      <c r="D122" s="27">
        <f aca="true" t="shared" si="44" ref="D122:R122">D104/D$108</f>
        <v>0</v>
      </c>
      <c r="E122" s="27">
        <f t="shared" si="44"/>
        <v>0</v>
      </c>
      <c r="F122" s="27">
        <f t="shared" si="44"/>
        <v>0</v>
      </c>
      <c r="G122" s="27">
        <f t="shared" si="44"/>
        <v>0</v>
      </c>
      <c r="H122" s="27">
        <f t="shared" si="44"/>
        <v>0</v>
      </c>
      <c r="I122" s="27">
        <f t="shared" si="44"/>
        <v>0</v>
      </c>
      <c r="J122" s="27">
        <f t="shared" si="44"/>
        <v>0</v>
      </c>
      <c r="K122" s="27">
        <f t="shared" si="44"/>
        <v>0</v>
      </c>
      <c r="L122" s="27">
        <f t="shared" si="44"/>
        <v>0</v>
      </c>
      <c r="M122" s="27">
        <f t="shared" si="44"/>
        <v>0</v>
      </c>
      <c r="N122" s="27">
        <f t="shared" si="44"/>
        <v>0</v>
      </c>
      <c r="O122" s="27">
        <f t="shared" si="44"/>
        <v>0</v>
      </c>
      <c r="P122" s="27">
        <f t="shared" si="44"/>
        <v>0</v>
      </c>
      <c r="Q122" s="27">
        <f t="shared" si="44"/>
        <v>0</v>
      </c>
      <c r="R122" s="27">
        <f t="shared" si="44"/>
        <v>0</v>
      </c>
      <c r="S122" s="27">
        <f aca="true" t="shared" si="45" ref="S122:AB122">S104/S$108</f>
        <v>0</v>
      </c>
      <c r="T122" s="27">
        <f t="shared" si="45"/>
        <v>0</v>
      </c>
      <c r="U122" s="27">
        <f t="shared" si="45"/>
        <v>0</v>
      </c>
      <c r="V122" s="27">
        <f t="shared" si="45"/>
        <v>0</v>
      </c>
      <c r="W122" s="27">
        <f t="shared" si="45"/>
        <v>0.0004386926957666155</v>
      </c>
      <c r="X122" s="27">
        <f t="shared" si="45"/>
        <v>0.0033829499323410014</v>
      </c>
      <c r="Y122" s="27">
        <f t="shared" si="45"/>
        <v>0.006731173748422381</v>
      </c>
      <c r="Z122" s="27">
        <f t="shared" si="45"/>
        <v>0.007685142058686539</v>
      </c>
      <c r="AA122" s="27">
        <f t="shared" si="45"/>
        <v>0.009801876955161626</v>
      </c>
      <c r="AB122" s="27">
        <f t="shared" si="45"/>
        <v>0.011231193049374867</v>
      </c>
      <c r="AC122" s="27">
        <f t="shared" si="30"/>
        <v>0.012605042016806723</v>
      </c>
      <c r="AD122" s="27">
        <f t="shared" si="30"/>
        <v>0.012463033375580903</v>
      </c>
      <c r="AE122" s="27">
        <f t="shared" si="30"/>
        <v>0.014057093425605537</v>
      </c>
      <c r="AF122" s="27">
        <f t="shared" si="30"/>
        <v>0.015120555782590927</v>
      </c>
      <c r="AG122" s="27">
        <f t="shared" si="30"/>
        <v>0.013678451178451179</v>
      </c>
      <c r="AH122" s="27">
        <f t="shared" si="30"/>
        <v>0.01409366869037294</v>
      </c>
      <c r="AI122" s="27">
        <f t="shared" si="31"/>
        <v>0.015306122448979591</v>
      </c>
    </row>
    <row r="123" spans="2:35" ht="12.75">
      <c r="B123" s="22" t="s">
        <v>34</v>
      </c>
      <c r="C123" s="27">
        <f t="shared" si="27"/>
        <v>0.0013144058885383807</v>
      </c>
      <c r="D123" s="27">
        <f aca="true" t="shared" si="46" ref="D123:R123">D105/D$108</f>
        <v>0.0025252525252525255</v>
      </c>
      <c r="E123" s="27">
        <f t="shared" si="46"/>
        <v>0.0019134178426213825</v>
      </c>
      <c r="F123" s="27">
        <f t="shared" si="46"/>
        <v>0.0014312977099236641</v>
      </c>
      <c r="G123" s="27">
        <f t="shared" si="46"/>
        <v>0.0016746411483253589</v>
      </c>
      <c r="H123" s="27">
        <f t="shared" si="46"/>
        <v>0.0026234199856904365</v>
      </c>
      <c r="I123" s="27">
        <f t="shared" si="46"/>
        <v>0.0029505220154334997</v>
      </c>
      <c r="J123" s="27">
        <f t="shared" si="46"/>
        <v>0.0022836263987211693</v>
      </c>
      <c r="K123" s="27">
        <f t="shared" si="46"/>
        <v>0.0027732840305061245</v>
      </c>
      <c r="L123" s="27">
        <f t="shared" si="46"/>
        <v>0.00220967345936656</v>
      </c>
      <c r="M123" s="27">
        <f t="shared" si="46"/>
        <v>0.0021853146853146855</v>
      </c>
      <c r="N123" s="27">
        <f t="shared" si="46"/>
        <v>0.002006688963210702</v>
      </c>
      <c r="O123" s="27">
        <f t="shared" si="46"/>
        <v>0.0032637075718015664</v>
      </c>
      <c r="P123" s="27">
        <f t="shared" si="46"/>
        <v>0.002397036391370669</v>
      </c>
      <c r="Q123" s="27">
        <f t="shared" si="46"/>
        <v>0.002746623941405356</v>
      </c>
      <c r="R123" s="27">
        <f t="shared" si="46"/>
        <v>0.003108348134991119</v>
      </c>
      <c r="S123" s="27">
        <f aca="true" t="shared" si="47" ref="S123:AB123">S105/S$108</f>
        <v>0.00288953100689042</v>
      </c>
      <c r="T123" s="27">
        <f t="shared" si="47"/>
        <v>0.002720471548401723</v>
      </c>
      <c r="U123" s="27">
        <f t="shared" si="47"/>
        <v>0.002393906420021763</v>
      </c>
      <c r="V123" s="27">
        <f t="shared" si="47"/>
        <v>0.002607561929595828</v>
      </c>
      <c r="W123" s="27">
        <f t="shared" si="47"/>
        <v>0.003509541566132924</v>
      </c>
      <c r="X123" s="27">
        <f t="shared" si="47"/>
        <v>0.0031574199368516014</v>
      </c>
      <c r="Y123" s="27">
        <f t="shared" si="47"/>
        <v>0.002103491796381994</v>
      </c>
      <c r="Z123" s="27">
        <f t="shared" si="47"/>
        <v>0.0027945971122496508</v>
      </c>
      <c r="AA123" s="27">
        <f t="shared" si="47"/>
        <v>0.0022940563086548487</v>
      </c>
      <c r="AB123" s="27">
        <f t="shared" si="47"/>
        <v>0.003178639542275906</v>
      </c>
      <c r="AC123" s="27">
        <f t="shared" si="30"/>
        <v>0.0026536930561698365</v>
      </c>
      <c r="AD123" s="27">
        <f t="shared" si="30"/>
        <v>0.0031685678073510772</v>
      </c>
      <c r="AE123" s="27">
        <f t="shared" si="30"/>
        <v>0.0034602076124567475</v>
      </c>
      <c r="AF123" s="27">
        <f t="shared" si="30"/>
        <v>0.0038823048630976706</v>
      </c>
      <c r="AG123" s="27">
        <f t="shared" si="30"/>
        <v>0.0035774410774410776</v>
      </c>
      <c r="AH123" s="27">
        <f t="shared" si="30"/>
        <v>0.0026019080659150044</v>
      </c>
      <c r="AI123" s="27">
        <f t="shared" si="31"/>
        <v>0.0027472527472527475</v>
      </c>
    </row>
    <row r="124" spans="2:35" ht="12.75">
      <c r="B124" s="90" t="s">
        <v>35</v>
      </c>
      <c r="C124" s="91">
        <f t="shared" si="27"/>
        <v>0.259726603575184</v>
      </c>
      <c r="D124" s="91">
        <f aca="true" t="shared" si="48" ref="D124:AH124">D106/D$108</f>
        <v>0.26721763085399447</v>
      </c>
      <c r="E124" s="91">
        <f t="shared" si="48"/>
        <v>0.2516144463047118</v>
      </c>
      <c r="F124" s="91">
        <f t="shared" si="48"/>
        <v>0.2571564885496183</v>
      </c>
      <c r="G124" s="91">
        <f t="shared" si="48"/>
        <v>0.2636363636363636</v>
      </c>
      <c r="H124" s="91">
        <f t="shared" si="48"/>
        <v>0.2547102313379442</v>
      </c>
      <c r="I124" s="91">
        <f t="shared" si="48"/>
        <v>0.2603268270540173</v>
      </c>
      <c r="J124" s="91">
        <f t="shared" si="48"/>
        <v>0.2582781456953642</v>
      </c>
      <c r="K124" s="91">
        <f t="shared" si="48"/>
        <v>0.2544488097989369</v>
      </c>
      <c r="L124" s="91">
        <f t="shared" si="48"/>
        <v>0.2548490056469433</v>
      </c>
      <c r="M124" s="91">
        <f t="shared" si="48"/>
        <v>0.25743006993006995</v>
      </c>
      <c r="N124" s="91">
        <f t="shared" si="48"/>
        <v>0.24503901895206243</v>
      </c>
      <c r="O124" s="91">
        <f t="shared" si="48"/>
        <v>0.24869451697127937</v>
      </c>
      <c r="P124" s="91">
        <f t="shared" si="48"/>
        <v>0.24035737633471344</v>
      </c>
      <c r="Q124" s="91">
        <f t="shared" si="48"/>
        <v>0.24238956282902266</v>
      </c>
      <c r="R124" s="91">
        <f t="shared" si="48"/>
        <v>0.24289520426287745</v>
      </c>
      <c r="S124" s="91">
        <f t="shared" si="48"/>
        <v>0.2469437652811736</v>
      </c>
      <c r="T124" s="91">
        <f t="shared" si="48"/>
        <v>0.24869644071639085</v>
      </c>
      <c r="U124" s="91">
        <f t="shared" si="48"/>
        <v>0.24439608269858543</v>
      </c>
      <c r="V124" s="91">
        <f t="shared" si="48"/>
        <v>0.24337244676227726</v>
      </c>
      <c r="W124" s="91">
        <f t="shared" si="48"/>
        <v>0.2353586312787892</v>
      </c>
      <c r="X124" s="91">
        <f t="shared" si="48"/>
        <v>0.2318448353631033</v>
      </c>
      <c r="Y124" s="91">
        <f t="shared" si="48"/>
        <v>0.23180479596129575</v>
      </c>
      <c r="Z124" s="91">
        <f t="shared" si="48"/>
        <v>0.2286911970190964</v>
      </c>
      <c r="AA124" s="91">
        <f t="shared" si="48"/>
        <v>0.2273201251303441</v>
      </c>
      <c r="AB124" s="91">
        <f t="shared" si="48"/>
        <v>0.22843822843822845</v>
      </c>
      <c r="AC124" s="91">
        <f t="shared" si="48"/>
        <v>0.2193719593100398</v>
      </c>
      <c r="AD124" s="91">
        <f t="shared" si="48"/>
        <v>0.22454583861427968</v>
      </c>
      <c r="AE124" s="91">
        <f t="shared" si="48"/>
        <v>0.2231833910034602</v>
      </c>
      <c r="AF124" s="91">
        <f t="shared" si="48"/>
        <v>0.21986105435226808</v>
      </c>
      <c r="AG124" s="91">
        <f t="shared" si="48"/>
        <v>0.2215909090909091</v>
      </c>
      <c r="AH124" s="91">
        <f t="shared" si="48"/>
        <v>0.21769297484822203</v>
      </c>
      <c r="AI124" s="91">
        <f t="shared" si="31"/>
        <v>0.2109497645211931</v>
      </c>
    </row>
    <row r="125" spans="2:35" ht="13.5" thickBot="1">
      <c r="B125" s="24" t="s">
        <v>108</v>
      </c>
      <c r="C125" s="28">
        <f t="shared" si="27"/>
        <v>0</v>
      </c>
      <c r="D125" s="28">
        <f aca="true" t="shared" si="49" ref="D125:AH125">D107/D$108</f>
        <v>0</v>
      </c>
      <c r="E125" s="28">
        <f t="shared" si="49"/>
        <v>0</v>
      </c>
      <c r="F125" s="28">
        <f t="shared" si="49"/>
        <v>0</v>
      </c>
      <c r="G125" s="28">
        <f t="shared" si="49"/>
        <v>0</v>
      </c>
      <c r="H125" s="28">
        <f t="shared" si="49"/>
        <v>0</v>
      </c>
      <c r="I125" s="28">
        <f t="shared" si="49"/>
        <v>0</v>
      </c>
      <c r="J125" s="28">
        <f t="shared" si="49"/>
        <v>0</v>
      </c>
      <c r="K125" s="28">
        <f t="shared" si="49"/>
        <v>0</v>
      </c>
      <c r="L125" s="28">
        <f t="shared" si="49"/>
        <v>0</v>
      </c>
      <c r="M125" s="28">
        <f t="shared" si="49"/>
        <v>0</v>
      </c>
      <c r="N125" s="28">
        <f t="shared" si="49"/>
        <v>0</v>
      </c>
      <c r="O125" s="28">
        <f t="shared" si="49"/>
        <v>0</v>
      </c>
      <c r="P125" s="28">
        <f t="shared" si="49"/>
        <v>0</v>
      </c>
      <c r="Q125" s="28">
        <f t="shared" si="49"/>
        <v>0</v>
      </c>
      <c r="R125" s="28">
        <f t="shared" si="49"/>
        <v>0</v>
      </c>
      <c r="S125" s="28">
        <f t="shared" si="49"/>
        <v>0</v>
      </c>
      <c r="T125" s="28">
        <f t="shared" si="49"/>
        <v>0</v>
      </c>
      <c r="U125" s="28">
        <f t="shared" si="49"/>
        <v>0</v>
      </c>
      <c r="V125" s="28">
        <f t="shared" si="49"/>
        <v>0</v>
      </c>
      <c r="W125" s="28">
        <f t="shared" si="49"/>
        <v>0</v>
      </c>
      <c r="X125" s="28">
        <f t="shared" si="49"/>
        <v>0</v>
      </c>
      <c r="Y125" s="28">
        <f t="shared" si="49"/>
        <v>0</v>
      </c>
      <c r="Z125" s="28">
        <f t="shared" si="49"/>
        <v>0</v>
      </c>
      <c r="AA125" s="28">
        <f t="shared" si="49"/>
        <v>0</v>
      </c>
      <c r="AB125" s="28">
        <f t="shared" si="49"/>
        <v>0</v>
      </c>
      <c r="AC125" s="28">
        <f t="shared" si="49"/>
        <v>0</v>
      </c>
      <c r="AD125" s="28">
        <f t="shared" si="49"/>
        <v>0</v>
      </c>
      <c r="AE125" s="28">
        <f t="shared" si="49"/>
        <v>0</v>
      </c>
      <c r="AF125" s="28">
        <f t="shared" si="49"/>
        <v>0</v>
      </c>
      <c r="AG125" s="28">
        <f t="shared" si="49"/>
        <v>0</v>
      </c>
      <c r="AH125" s="28">
        <f t="shared" si="49"/>
        <v>0</v>
      </c>
      <c r="AI125" s="28">
        <f t="shared" si="31"/>
        <v>0.0009811616954474097</v>
      </c>
    </row>
    <row r="126" spans="2:35" ht="13.5" thickTop="1">
      <c r="B126" s="26" t="s">
        <v>36</v>
      </c>
      <c r="C126" s="29">
        <f t="shared" si="27"/>
        <v>1</v>
      </c>
      <c r="D126" s="29">
        <f aca="true" t="shared" si="50" ref="D126:R126">D108/D$108</f>
        <v>1</v>
      </c>
      <c r="E126" s="29">
        <f t="shared" si="50"/>
        <v>1</v>
      </c>
      <c r="F126" s="29">
        <f t="shared" si="50"/>
        <v>1</v>
      </c>
      <c r="G126" s="29">
        <f t="shared" si="50"/>
        <v>1</v>
      </c>
      <c r="H126" s="29">
        <f t="shared" si="50"/>
        <v>1</v>
      </c>
      <c r="I126" s="29">
        <f t="shared" si="50"/>
        <v>1</v>
      </c>
      <c r="J126" s="29">
        <f t="shared" si="50"/>
        <v>1</v>
      </c>
      <c r="K126" s="29">
        <f t="shared" si="50"/>
        <v>1</v>
      </c>
      <c r="L126" s="29">
        <f t="shared" si="50"/>
        <v>1</v>
      </c>
      <c r="M126" s="29">
        <f t="shared" si="50"/>
        <v>1</v>
      </c>
      <c r="N126" s="29">
        <f t="shared" si="50"/>
        <v>1</v>
      </c>
      <c r="O126" s="29">
        <f t="shared" si="50"/>
        <v>1</v>
      </c>
      <c r="P126" s="29">
        <f t="shared" si="50"/>
        <v>1</v>
      </c>
      <c r="Q126" s="29">
        <f t="shared" si="50"/>
        <v>1</v>
      </c>
      <c r="R126" s="29">
        <f t="shared" si="50"/>
        <v>1</v>
      </c>
      <c r="S126" s="29">
        <f aca="true" t="shared" si="51" ref="S126:AB126">S108/S$108</f>
        <v>1</v>
      </c>
      <c r="T126" s="29">
        <f t="shared" si="51"/>
        <v>1</v>
      </c>
      <c r="U126" s="29">
        <f t="shared" si="51"/>
        <v>1</v>
      </c>
      <c r="V126" s="29">
        <f t="shared" si="51"/>
        <v>1</v>
      </c>
      <c r="W126" s="29">
        <f t="shared" si="51"/>
        <v>1</v>
      </c>
      <c r="X126" s="29">
        <f t="shared" si="51"/>
        <v>1</v>
      </c>
      <c r="Y126" s="29">
        <f t="shared" si="51"/>
        <v>1</v>
      </c>
      <c r="Z126" s="29">
        <f t="shared" si="51"/>
        <v>1</v>
      </c>
      <c r="AA126" s="29">
        <f t="shared" si="51"/>
        <v>1</v>
      </c>
      <c r="AB126" s="29">
        <f t="shared" si="51"/>
        <v>1</v>
      </c>
      <c r="AC126" s="29">
        <f aca="true" t="shared" si="52" ref="AC126:AH127">AC108/AC$108</f>
        <v>1</v>
      </c>
      <c r="AD126" s="29">
        <f t="shared" si="52"/>
        <v>1</v>
      </c>
      <c r="AE126" s="29">
        <f t="shared" si="52"/>
        <v>1</v>
      </c>
      <c r="AF126" s="29">
        <f t="shared" si="52"/>
        <v>1</v>
      </c>
      <c r="AG126" s="29">
        <f t="shared" si="52"/>
        <v>1</v>
      </c>
      <c r="AH126" s="29">
        <f t="shared" si="52"/>
        <v>1</v>
      </c>
      <c r="AI126" s="29">
        <f t="shared" si="31"/>
        <v>1</v>
      </c>
    </row>
    <row r="127" spans="2:37" ht="12.75">
      <c r="B127" s="67" t="s">
        <v>37</v>
      </c>
      <c r="C127" s="69">
        <f t="shared" si="27"/>
        <v>0.46030494216614093</v>
      </c>
      <c r="D127" s="69">
        <f aca="true" t="shared" si="53" ref="D127:R127">D109/D$108</f>
        <v>0.45202020202020204</v>
      </c>
      <c r="E127" s="69">
        <f t="shared" si="53"/>
        <v>0.46472135852666824</v>
      </c>
      <c r="F127" s="69">
        <f t="shared" si="53"/>
        <v>0.46087786259541985</v>
      </c>
      <c r="G127" s="69">
        <f t="shared" si="53"/>
        <v>0.4485645933014354</v>
      </c>
      <c r="H127" s="69">
        <f t="shared" si="53"/>
        <v>0.45647507751013594</v>
      </c>
      <c r="I127" s="69">
        <f t="shared" si="53"/>
        <v>0.45301861098502044</v>
      </c>
      <c r="J127" s="69">
        <f t="shared" si="53"/>
        <v>0.45512674126512903</v>
      </c>
      <c r="K127" s="69">
        <f t="shared" si="53"/>
        <v>0.446498728911486</v>
      </c>
      <c r="L127" s="69">
        <f t="shared" si="53"/>
        <v>0.437269825681316</v>
      </c>
      <c r="M127" s="69">
        <f t="shared" si="53"/>
        <v>0.4423076923076923</v>
      </c>
      <c r="N127" s="69">
        <f t="shared" si="53"/>
        <v>0.43500557413600893</v>
      </c>
      <c r="O127" s="69">
        <f t="shared" si="53"/>
        <v>0.4355961705831157</v>
      </c>
      <c r="P127" s="69">
        <f t="shared" si="53"/>
        <v>0.4336456744388756</v>
      </c>
      <c r="Q127" s="69">
        <f t="shared" si="53"/>
        <v>0.4412909132524605</v>
      </c>
      <c r="R127" s="69">
        <f t="shared" si="53"/>
        <v>0.4391651865008881</v>
      </c>
      <c r="S127" s="69">
        <f aca="true" t="shared" si="54" ref="S127:AB127">S109/S$108</f>
        <v>0.4278728606356968</v>
      </c>
      <c r="T127" s="69">
        <f t="shared" si="54"/>
        <v>0.4271140330990705</v>
      </c>
      <c r="U127" s="69">
        <f t="shared" si="54"/>
        <v>0.4324265505984766</v>
      </c>
      <c r="V127" s="69">
        <f t="shared" si="54"/>
        <v>0.439374185136897</v>
      </c>
      <c r="W127" s="69">
        <f t="shared" si="54"/>
        <v>0.42926080280763323</v>
      </c>
      <c r="X127" s="69">
        <f t="shared" si="54"/>
        <v>0.42783040144339196</v>
      </c>
      <c r="Y127" s="69">
        <f t="shared" si="54"/>
        <v>0.41691207404291125</v>
      </c>
      <c r="Z127" s="69">
        <f t="shared" si="54"/>
        <v>0.41825803446669774</v>
      </c>
      <c r="AA127" s="69">
        <f t="shared" si="54"/>
        <v>0.4131386861313869</v>
      </c>
      <c r="AB127" s="69">
        <f t="shared" si="54"/>
        <v>0.4030514939605849</v>
      </c>
      <c r="AC127" s="119">
        <f t="shared" si="52"/>
        <v>0.40955329500221144</v>
      </c>
      <c r="AD127" s="69">
        <f t="shared" si="52"/>
        <v>0.4057879171947613</v>
      </c>
      <c r="AE127" s="69">
        <f t="shared" si="52"/>
        <v>0.3994377162629758</v>
      </c>
      <c r="AF127" s="69">
        <f t="shared" si="52"/>
        <v>0.4015120555782591</v>
      </c>
      <c r="AG127" s="69">
        <f t="shared" si="52"/>
        <v>0.4006734006734007</v>
      </c>
      <c r="AH127" s="69">
        <f t="shared" si="52"/>
        <v>0.40459670424978317</v>
      </c>
      <c r="AI127" s="119">
        <f t="shared" si="31"/>
        <v>0.4067896389324961</v>
      </c>
      <c r="AK127" s="118">
        <f>(AI127-AC127)/AC127</f>
        <v>-0.006747976645384882</v>
      </c>
    </row>
    <row r="128" spans="2:35" s="14" customFormat="1" ht="13.5" thickBot="1">
      <c r="B128" s="64" t="s">
        <v>68</v>
      </c>
      <c r="C128" s="65">
        <f>C110/C108</f>
        <v>0.7389589905362776</v>
      </c>
      <c r="D128" s="65">
        <f aca="true" t="shared" si="55" ref="D128:AB128">D110/D108</f>
        <v>0.730257116620753</v>
      </c>
      <c r="E128" s="65">
        <f t="shared" si="55"/>
        <v>0.7464721358526668</v>
      </c>
      <c r="F128" s="65">
        <f t="shared" si="55"/>
        <v>0.7414122137404581</v>
      </c>
      <c r="G128" s="65">
        <f t="shared" si="55"/>
        <v>0.7346889952153111</v>
      </c>
      <c r="H128" s="65">
        <f t="shared" si="55"/>
        <v>0.7426663486763654</v>
      </c>
      <c r="I128" s="65">
        <f t="shared" si="55"/>
        <v>0.7367226509305492</v>
      </c>
      <c r="J128" s="65">
        <f t="shared" si="55"/>
        <v>0.7394382279059146</v>
      </c>
      <c r="K128" s="65">
        <f t="shared" si="55"/>
        <v>0.7416223711578461</v>
      </c>
      <c r="L128" s="65">
        <f t="shared" si="55"/>
        <v>0.7397495703412718</v>
      </c>
      <c r="M128" s="65">
        <f t="shared" si="55"/>
        <v>0.7338286713286714</v>
      </c>
      <c r="N128" s="65">
        <f t="shared" si="55"/>
        <v>0.7435897435897436</v>
      </c>
      <c r="O128" s="65">
        <f t="shared" si="55"/>
        <v>0.7382506527415144</v>
      </c>
      <c r="P128" s="65">
        <f t="shared" si="55"/>
        <v>0.7409021573327522</v>
      </c>
      <c r="Q128" s="65">
        <f t="shared" si="55"/>
        <v>0.7397573815518426</v>
      </c>
      <c r="R128" s="65">
        <f t="shared" si="55"/>
        <v>0.7371225577264654</v>
      </c>
      <c r="S128" s="65">
        <f t="shared" si="55"/>
        <v>0.7272727272727273</v>
      </c>
      <c r="T128" s="65">
        <f t="shared" si="55"/>
        <v>0.725232373611426</v>
      </c>
      <c r="U128" s="65">
        <f t="shared" si="55"/>
        <v>0.7305767138193688</v>
      </c>
      <c r="V128" s="65">
        <f t="shared" si="55"/>
        <v>0.7266405910473707</v>
      </c>
      <c r="W128" s="65">
        <f t="shared" si="55"/>
        <v>0.7337135336696644</v>
      </c>
      <c r="X128" s="65">
        <f t="shared" si="55"/>
        <v>0.7284618854307623</v>
      </c>
      <c r="Y128" s="65">
        <f t="shared" si="55"/>
        <v>0.72780816154817</v>
      </c>
      <c r="Z128" s="65">
        <f t="shared" si="55"/>
        <v>0.7331159757801584</v>
      </c>
      <c r="AA128" s="65">
        <f t="shared" si="55"/>
        <v>0.7309697601668405</v>
      </c>
      <c r="AB128" s="65">
        <f t="shared" si="55"/>
        <v>0.7262131807586353</v>
      </c>
      <c r="AC128" s="65">
        <f aca="true" t="shared" si="56" ref="AC128:AH128">AC110/AC108</f>
        <v>0.732640424590889</v>
      </c>
      <c r="AD128" s="65">
        <f t="shared" si="56"/>
        <v>0.7272919307139839</v>
      </c>
      <c r="AE128" s="65">
        <f t="shared" si="56"/>
        <v>0.7264273356401384</v>
      </c>
      <c r="AF128" s="65">
        <f t="shared" si="56"/>
        <v>0.7235390273804658</v>
      </c>
      <c r="AG128" s="65">
        <f t="shared" si="56"/>
        <v>0.7236952861952862</v>
      </c>
      <c r="AH128" s="65">
        <f t="shared" si="56"/>
        <v>0.7281006071118821</v>
      </c>
      <c r="AI128" s="65">
        <f>AI110/AI108</f>
        <v>0.7305729984301413</v>
      </c>
    </row>
    <row r="129" ht="13.5" thickTop="1"/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61"/>
  <sheetViews>
    <sheetView workbookViewId="0" topLeftCell="AB71">
      <selection activeCell="G5" sqref="G5"/>
    </sheetView>
  </sheetViews>
  <sheetFormatPr defaultColWidth="11.421875" defaultRowHeight="12.75"/>
  <cols>
    <col min="2" max="2" width="26.8515625" style="0" bestFit="1" customWidth="1"/>
    <col min="3" max="16" width="11.28125" style="0" bestFit="1" customWidth="1"/>
  </cols>
  <sheetData>
    <row r="1" ht="18">
      <c r="B1" s="21" t="s">
        <v>72</v>
      </c>
    </row>
    <row r="3" spans="1:35" s="70" customFormat="1" ht="39" thickBot="1">
      <c r="A3" s="72" t="s">
        <v>114</v>
      </c>
      <c r="B3" s="81" t="s">
        <v>0</v>
      </c>
      <c r="C3" s="81" t="s">
        <v>55</v>
      </c>
      <c r="D3" s="81" t="s">
        <v>56</v>
      </c>
      <c r="E3" s="81" t="s">
        <v>57</v>
      </c>
      <c r="F3" s="81" t="s">
        <v>58</v>
      </c>
      <c r="G3" s="81" t="s">
        <v>59</v>
      </c>
      <c r="H3" s="81" t="s">
        <v>60</v>
      </c>
      <c r="I3" s="81" t="s">
        <v>61</v>
      </c>
      <c r="J3" s="81" t="s">
        <v>67</v>
      </c>
      <c r="K3" s="81" t="s">
        <v>63</v>
      </c>
      <c r="L3" s="81" t="s">
        <v>64</v>
      </c>
      <c r="M3" s="81" t="s">
        <v>65</v>
      </c>
      <c r="N3" s="81" t="s">
        <v>38</v>
      </c>
      <c r="O3" s="81" t="s">
        <v>39</v>
      </c>
      <c r="P3" s="81" t="s">
        <v>40</v>
      </c>
      <c r="Q3" s="81" t="s">
        <v>41</v>
      </c>
      <c r="R3" s="81" t="s">
        <v>42</v>
      </c>
      <c r="S3" s="81" t="s">
        <v>43</v>
      </c>
      <c r="T3" s="81" t="s">
        <v>44</v>
      </c>
      <c r="U3" s="81" t="s">
        <v>45</v>
      </c>
      <c r="V3" s="81" t="s">
        <v>46</v>
      </c>
      <c r="W3" s="81" t="s">
        <v>47</v>
      </c>
      <c r="X3" s="81" t="s">
        <v>66</v>
      </c>
      <c r="Y3" s="81" t="s">
        <v>49</v>
      </c>
      <c r="Z3" s="81" t="s">
        <v>50</v>
      </c>
      <c r="AA3" s="81" t="s">
        <v>51</v>
      </c>
      <c r="AB3" s="81" t="s">
        <v>52</v>
      </c>
      <c r="AC3" s="81" t="s">
        <v>69</v>
      </c>
      <c r="AD3" s="81" t="s">
        <v>70</v>
      </c>
      <c r="AE3" s="81" t="s">
        <v>75</v>
      </c>
      <c r="AF3" s="81" t="s">
        <v>76</v>
      </c>
      <c r="AG3" s="81" t="s">
        <v>105</v>
      </c>
      <c r="AH3" s="81" t="s">
        <v>106</v>
      </c>
      <c r="AI3" s="81" t="s">
        <v>109</v>
      </c>
    </row>
    <row r="4" spans="1:35" ht="26.25" thickTop="1">
      <c r="A4" s="106">
        <v>1</v>
      </c>
      <c r="B4" s="82" t="s">
        <v>77</v>
      </c>
      <c r="C4" s="106">
        <v>0</v>
      </c>
      <c r="D4" s="106">
        <v>0</v>
      </c>
      <c r="E4" s="106">
        <v>0</v>
      </c>
      <c r="F4" s="106">
        <v>0</v>
      </c>
      <c r="G4" s="106">
        <v>0</v>
      </c>
      <c r="H4" s="106">
        <v>0</v>
      </c>
      <c r="I4" s="106">
        <v>0</v>
      </c>
      <c r="J4" s="106">
        <v>0</v>
      </c>
      <c r="K4" s="106">
        <v>0</v>
      </c>
      <c r="L4" s="106">
        <v>0</v>
      </c>
      <c r="M4" s="106">
        <v>0</v>
      </c>
      <c r="N4" s="106">
        <v>0</v>
      </c>
      <c r="O4" s="106">
        <v>0</v>
      </c>
      <c r="P4" s="106">
        <v>0</v>
      </c>
      <c r="Q4" s="106">
        <v>0</v>
      </c>
      <c r="R4" s="106">
        <v>0</v>
      </c>
      <c r="S4" s="106">
        <v>0</v>
      </c>
      <c r="T4" s="106">
        <v>0</v>
      </c>
      <c r="U4" s="106">
        <v>0</v>
      </c>
      <c r="V4" s="106">
        <v>2</v>
      </c>
      <c r="W4" s="106">
        <v>4</v>
      </c>
      <c r="X4" s="106">
        <v>1</v>
      </c>
      <c r="Y4" s="106">
        <v>6</v>
      </c>
      <c r="Z4" s="106">
        <v>6</v>
      </c>
      <c r="AA4" s="106">
        <v>6</v>
      </c>
      <c r="AB4" s="106">
        <v>7</v>
      </c>
      <c r="AC4" s="106">
        <v>7</v>
      </c>
      <c r="AD4" s="106">
        <v>9</v>
      </c>
      <c r="AE4" s="106">
        <v>9</v>
      </c>
      <c r="AF4" s="106">
        <v>9</v>
      </c>
      <c r="AG4" s="106">
        <v>10</v>
      </c>
      <c r="AH4" s="106">
        <v>6</v>
      </c>
      <c r="AI4" s="106">
        <v>15</v>
      </c>
    </row>
    <row r="5" spans="1:35" ht="25.5">
      <c r="A5" s="106">
        <v>2</v>
      </c>
      <c r="B5" s="82" t="s">
        <v>78</v>
      </c>
      <c r="C5" s="106">
        <v>554</v>
      </c>
      <c r="D5" s="106">
        <v>688</v>
      </c>
      <c r="E5" s="106">
        <v>611</v>
      </c>
      <c r="F5" s="106">
        <v>641</v>
      </c>
      <c r="G5" s="106">
        <v>593</v>
      </c>
      <c r="H5" s="106">
        <v>587</v>
      </c>
      <c r="I5" s="106">
        <v>612</v>
      </c>
      <c r="J5" s="106">
        <v>619</v>
      </c>
      <c r="K5" s="106">
        <v>576</v>
      </c>
      <c r="L5" s="106">
        <v>540</v>
      </c>
      <c r="M5" s="106">
        <v>618</v>
      </c>
      <c r="N5" s="106">
        <v>600</v>
      </c>
      <c r="O5" s="106">
        <v>616</v>
      </c>
      <c r="P5" s="106">
        <v>611</v>
      </c>
      <c r="Q5" s="106">
        <v>616</v>
      </c>
      <c r="R5" s="106">
        <v>687</v>
      </c>
      <c r="S5" s="106">
        <v>645</v>
      </c>
      <c r="T5" s="106">
        <v>614</v>
      </c>
      <c r="U5" s="106">
        <v>692</v>
      </c>
      <c r="V5" s="106">
        <v>704</v>
      </c>
      <c r="W5" s="106">
        <v>679</v>
      </c>
      <c r="X5" s="106">
        <v>649</v>
      </c>
      <c r="Y5" s="106">
        <v>719</v>
      </c>
      <c r="Z5" s="106">
        <v>629</v>
      </c>
      <c r="AA5" s="106">
        <v>723</v>
      </c>
      <c r="AB5" s="106">
        <v>705</v>
      </c>
      <c r="AC5" s="106">
        <v>691</v>
      </c>
      <c r="AD5" s="106">
        <v>696</v>
      </c>
      <c r="AE5" s="106">
        <v>655</v>
      </c>
      <c r="AF5" s="106">
        <v>694</v>
      </c>
      <c r="AG5" s="106">
        <v>661</v>
      </c>
      <c r="AH5" s="106">
        <v>659</v>
      </c>
      <c r="AI5" s="106">
        <v>734</v>
      </c>
    </row>
    <row r="6" spans="1:35" ht="25.5">
      <c r="A6" s="106">
        <v>3</v>
      </c>
      <c r="B6" s="82" t="s">
        <v>79</v>
      </c>
      <c r="C6" s="106">
        <v>51</v>
      </c>
      <c r="D6" s="106">
        <v>72</v>
      </c>
      <c r="E6" s="106">
        <v>78</v>
      </c>
      <c r="F6" s="106">
        <v>71</v>
      </c>
      <c r="G6" s="106">
        <v>85</v>
      </c>
      <c r="H6" s="106">
        <v>75</v>
      </c>
      <c r="I6" s="106">
        <v>85</v>
      </c>
      <c r="J6" s="106">
        <v>88</v>
      </c>
      <c r="K6" s="106">
        <v>86</v>
      </c>
      <c r="L6" s="106">
        <v>81</v>
      </c>
      <c r="M6" s="106">
        <v>101</v>
      </c>
      <c r="N6" s="106">
        <v>91</v>
      </c>
      <c r="O6" s="106">
        <v>100</v>
      </c>
      <c r="P6" s="106">
        <v>95</v>
      </c>
      <c r="Q6" s="106">
        <v>96</v>
      </c>
      <c r="R6" s="106">
        <v>95</v>
      </c>
      <c r="S6" s="106">
        <v>99</v>
      </c>
      <c r="T6" s="106">
        <v>106</v>
      </c>
      <c r="U6" s="106">
        <v>110</v>
      </c>
      <c r="V6" s="106">
        <v>112</v>
      </c>
      <c r="W6" s="106">
        <v>107</v>
      </c>
      <c r="X6" s="106">
        <v>96</v>
      </c>
      <c r="Y6" s="106">
        <v>100</v>
      </c>
      <c r="Z6" s="106">
        <v>102</v>
      </c>
      <c r="AA6" s="106">
        <v>110</v>
      </c>
      <c r="AB6" s="106">
        <v>101</v>
      </c>
      <c r="AC6" s="106">
        <v>102</v>
      </c>
      <c r="AD6" s="106">
        <v>104</v>
      </c>
      <c r="AE6" s="106">
        <v>111</v>
      </c>
      <c r="AF6" s="106">
        <v>118</v>
      </c>
      <c r="AG6" s="106">
        <v>107</v>
      </c>
      <c r="AH6" s="106">
        <v>108</v>
      </c>
      <c r="AI6" s="106">
        <v>121</v>
      </c>
    </row>
    <row r="7" spans="1:35" ht="25.5">
      <c r="A7" s="106">
        <v>4</v>
      </c>
      <c r="B7" s="82" t="s">
        <v>80</v>
      </c>
      <c r="C7" s="106">
        <v>0</v>
      </c>
      <c r="D7" s="106">
        <v>0</v>
      </c>
      <c r="E7" s="106">
        <v>0</v>
      </c>
      <c r="F7" s="106">
        <v>0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0</v>
      </c>
      <c r="S7" s="106">
        <v>0</v>
      </c>
      <c r="T7" s="106">
        <v>0</v>
      </c>
      <c r="U7" s="106">
        <v>0</v>
      </c>
      <c r="V7" s="106">
        <v>0</v>
      </c>
      <c r="W7" s="106">
        <v>0</v>
      </c>
      <c r="X7" s="106">
        <v>0</v>
      </c>
      <c r="Y7" s="106">
        <v>0</v>
      </c>
      <c r="Z7" s="106">
        <v>0</v>
      </c>
      <c r="AA7" s="106">
        <v>0</v>
      </c>
      <c r="AB7" s="106">
        <v>0</v>
      </c>
      <c r="AC7" s="106">
        <v>0</v>
      </c>
      <c r="AD7" s="106">
        <v>0</v>
      </c>
      <c r="AE7" s="106">
        <v>0</v>
      </c>
      <c r="AF7" s="106">
        <v>1</v>
      </c>
      <c r="AG7" s="106">
        <v>0</v>
      </c>
      <c r="AH7" s="106">
        <v>0</v>
      </c>
      <c r="AI7" s="106">
        <v>1</v>
      </c>
    </row>
    <row r="8" spans="1:35" ht="25.5">
      <c r="A8" s="106">
        <v>5</v>
      </c>
      <c r="B8" s="82" t="s">
        <v>81</v>
      </c>
      <c r="C8" s="106">
        <v>958</v>
      </c>
      <c r="D8" s="106">
        <v>1129</v>
      </c>
      <c r="E8" s="106">
        <v>1051</v>
      </c>
      <c r="F8" s="106">
        <v>1092</v>
      </c>
      <c r="G8" s="106">
        <v>1043</v>
      </c>
      <c r="H8" s="106">
        <v>1037</v>
      </c>
      <c r="I8" s="106">
        <v>1078</v>
      </c>
      <c r="J8" s="106">
        <v>1111</v>
      </c>
      <c r="K8" s="106">
        <v>1095</v>
      </c>
      <c r="L8" s="106">
        <v>939</v>
      </c>
      <c r="M8" s="106">
        <v>1173</v>
      </c>
      <c r="N8" s="106">
        <v>1035</v>
      </c>
      <c r="O8" s="106">
        <v>1086</v>
      </c>
      <c r="P8" s="106">
        <v>1065</v>
      </c>
      <c r="Q8" s="106">
        <v>984</v>
      </c>
      <c r="R8" s="106">
        <v>1010</v>
      </c>
      <c r="S8" s="106">
        <v>987</v>
      </c>
      <c r="T8" s="106">
        <v>942</v>
      </c>
      <c r="U8" s="106">
        <v>977</v>
      </c>
      <c r="V8" s="106">
        <v>1008</v>
      </c>
      <c r="W8" s="106">
        <v>955</v>
      </c>
      <c r="X8" s="106">
        <v>911</v>
      </c>
      <c r="Y8" s="106">
        <v>989</v>
      </c>
      <c r="Z8" s="106">
        <v>859</v>
      </c>
      <c r="AA8" s="106">
        <v>984</v>
      </c>
      <c r="AB8" s="106">
        <v>903</v>
      </c>
      <c r="AC8" s="106">
        <v>825</v>
      </c>
      <c r="AD8" s="106">
        <v>915</v>
      </c>
      <c r="AE8" s="106">
        <v>840</v>
      </c>
      <c r="AF8" s="106">
        <v>944</v>
      </c>
      <c r="AG8" s="106">
        <v>876</v>
      </c>
      <c r="AH8" s="106">
        <v>825</v>
      </c>
      <c r="AI8" s="106">
        <v>990</v>
      </c>
    </row>
    <row r="9" spans="1:35" ht="25.5">
      <c r="A9" s="106">
        <v>6</v>
      </c>
      <c r="B9" s="82" t="s">
        <v>82</v>
      </c>
      <c r="C9" s="106">
        <v>313</v>
      </c>
      <c r="D9" s="106">
        <v>389</v>
      </c>
      <c r="E9" s="106">
        <v>403</v>
      </c>
      <c r="F9" s="106">
        <v>365</v>
      </c>
      <c r="G9" s="106">
        <v>369</v>
      </c>
      <c r="H9" s="106">
        <v>382</v>
      </c>
      <c r="I9" s="106">
        <v>431</v>
      </c>
      <c r="J9" s="106">
        <v>419</v>
      </c>
      <c r="K9" s="106">
        <v>382</v>
      </c>
      <c r="L9" s="106">
        <v>338</v>
      </c>
      <c r="M9" s="106">
        <v>432</v>
      </c>
      <c r="N9" s="106">
        <v>405</v>
      </c>
      <c r="O9" s="106">
        <v>426</v>
      </c>
      <c r="P9" s="106">
        <v>433</v>
      </c>
      <c r="Q9" s="106">
        <v>396</v>
      </c>
      <c r="R9" s="106">
        <v>440</v>
      </c>
      <c r="S9" s="106">
        <v>388</v>
      </c>
      <c r="T9" s="106">
        <v>376</v>
      </c>
      <c r="U9" s="106">
        <v>404</v>
      </c>
      <c r="V9" s="106">
        <v>410</v>
      </c>
      <c r="W9" s="106">
        <v>386</v>
      </c>
      <c r="X9" s="106">
        <v>363</v>
      </c>
      <c r="Y9" s="106">
        <v>399</v>
      </c>
      <c r="Z9" s="106">
        <v>325</v>
      </c>
      <c r="AA9" s="106">
        <v>419</v>
      </c>
      <c r="AB9" s="106">
        <v>376</v>
      </c>
      <c r="AC9" s="106">
        <v>378</v>
      </c>
      <c r="AD9" s="106">
        <v>377</v>
      </c>
      <c r="AE9" s="106">
        <v>363</v>
      </c>
      <c r="AF9" s="106">
        <v>382</v>
      </c>
      <c r="AG9" s="106">
        <v>360</v>
      </c>
      <c r="AH9" s="106">
        <v>346</v>
      </c>
      <c r="AI9" s="106">
        <v>416</v>
      </c>
    </row>
    <row r="10" spans="1:35" ht="12.75">
      <c r="A10" s="106">
        <v>7</v>
      </c>
      <c r="B10" s="82" t="s">
        <v>83</v>
      </c>
      <c r="C10" s="106">
        <v>0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6">
        <v>0</v>
      </c>
      <c r="S10" s="106">
        <v>0</v>
      </c>
      <c r="T10" s="106">
        <v>0</v>
      </c>
      <c r="U10" s="106">
        <v>0</v>
      </c>
      <c r="V10" s="106">
        <v>0</v>
      </c>
      <c r="W10" s="106">
        <v>0</v>
      </c>
      <c r="X10" s="106">
        <v>0</v>
      </c>
      <c r="Y10" s="106">
        <v>0</v>
      </c>
      <c r="Z10" s="106">
        <v>0</v>
      </c>
      <c r="AA10" s="106">
        <v>0</v>
      </c>
      <c r="AB10" s="106">
        <v>5</v>
      </c>
      <c r="AC10" s="106">
        <v>7</v>
      </c>
      <c r="AD10" s="106">
        <v>13</v>
      </c>
      <c r="AE10" s="106">
        <v>13</v>
      </c>
      <c r="AF10" s="106">
        <v>29</v>
      </c>
      <c r="AG10" s="106">
        <v>25</v>
      </c>
      <c r="AH10" s="106">
        <v>36</v>
      </c>
      <c r="AI10" s="106">
        <v>46</v>
      </c>
    </row>
    <row r="11" spans="1:35" ht="25.5">
      <c r="A11" s="106">
        <v>8</v>
      </c>
      <c r="B11" s="82" t="s">
        <v>84</v>
      </c>
      <c r="C11" s="106">
        <v>50</v>
      </c>
      <c r="D11" s="106">
        <v>56</v>
      </c>
      <c r="E11" s="106">
        <v>47</v>
      </c>
      <c r="F11" s="106">
        <v>58</v>
      </c>
      <c r="G11" s="106">
        <v>49</v>
      </c>
      <c r="H11" s="106">
        <v>49</v>
      </c>
      <c r="I11" s="106">
        <v>50</v>
      </c>
      <c r="J11" s="106">
        <v>56</v>
      </c>
      <c r="K11" s="106">
        <v>49</v>
      </c>
      <c r="L11" s="106">
        <v>55</v>
      </c>
      <c r="M11" s="106">
        <v>50</v>
      </c>
      <c r="N11" s="106">
        <v>47</v>
      </c>
      <c r="O11" s="106">
        <v>58</v>
      </c>
      <c r="P11" s="106">
        <v>64</v>
      </c>
      <c r="Q11" s="106">
        <v>44</v>
      </c>
      <c r="R11" s="106">
        <v>62</v>
      </c>
      <c r="S11" s="106">
        <v>59</v>
      </c>
      <c r="T11" s="106">
        <v>57</v>
      </c>
      <c r="U11" s="106">
        <v>57</v>
      </c>
      <c r="V11" s="106">
        <v>68</v>
      </c>
      <c r="W11" s="106">
        <v>68</v>
      </c>
      <c r="X11" s="106">
        <v>66</v>
      </c>
      <c r="Y11" s="106">
        <v>71</v>
      </c>
      <c r="Z11" s="106">
        <v>49</v>
      </c>
      <c r="AA11" s="106">
        <v>75</v>
      </c>
      <c r="AB11" s="106">
        <v>63</v>
      </c>
      <c r="AC11" s="106">
        <v>57</v>
      </c>
      <c r="AD11" s="106">
        <v>61</v>
      </c>
      <c r="AE11" s="106">
        <v>64</v>
      </c>
      <c r="AF11" s="106">
        <v>66</v>
      </c>
      <c r="AG11" s="106">
        <v>59</v>
      </c>
      <c r="AH11" s="106">
        <v>59</v>
      </c>
      <c r="AI11" s="106">
        <v>53</v>
      </c>
    </row>
    <row r="12" spans="1:35" ht="25.5">
      <c r="A12" s="106">
        <v>9</v>
      </c>
      <c r="B12" s="82" t="s">
        <v>85</v>
      </c>
      <c r="C12" s="106">
        <v>115</v>
      </c>
      <c r="D12" s="106">
        <v>136</v>
      </c>
      <c r="E12" s="106">
        <v>134</v>
      </c>
      <c r="F12" s="106">
        <v>123</v>
      </c>
      <c r="G12" s="106">
        <v>110</v>
      </c>
      <c r="H12" s="106">
        <v>120</v>
      </c>
      <c r="I12" s="106">
        <v>122</v>
      </c>
      <c r="J12" s="106">
        <v>113</v>
      </c>
      <c r="K12" s="106">
        <v>126</v>
      </c>
      <c r="L12" s="106">
        <v>112</v>
      </c>
      <c r="M12" s="106">
        <v>123</v>
      </c>
      <c r="N12" s="106">
        <v>142</v>
      </c>
      <c r="O12" s="106">
        <v>124</v>
      </c>
      <c r="P12" s="106">
        <v>120</v>
      </c>
      <c r="Q12" s="106">
        <v>127</v>
      </c>
      <c r="R12" s="106">
        <v>134</v>
      </c>
      <c r="S12" s="106">
        <v>103</v>
      </c>
      <c r="T12" s="106">
        <v>115</v>
      </c>
      <c r="U12" s="106">
        <v>121</v>
      </c>
      <c r="V12" s="106">
        <v>116</v>
      </c>
      <c r="W12" s="106">
        <v>121</v>
      </c>
      <c r="X12" s="106">
        <v>87</v>
      </c>
      <c r="Y12" s="106">
        <v>113</v>
      </c>
      <c r="Z12" s="106">
        <v>101</v>
      </c>
      <c r="AA12" s="106">
        <v>112</v>
      </c>
      <c r="AB12" s="106">
        <v>112</v>
      </c>
      <c r="AC12" s="106">
        <v>104</v>
      </c>
      <c r="AD12" s="106">
        <v>99</v>
      </c>
      <c r="AE12" s="106">
        <v>104</v>
      </c>
      <c r="AF12" s="106">
        <v>112</v>
      </c>
      <c r="AG12" s="106">
        <v>104</v>
      </c>
      <c r="AH12" s="106">
        <v>95</v>
      </c>
      <c r="AI12" s="106">
        <v>109</v>
      </c>
    </row>
    <row r="13" spans="1:35" ht="25.5">
      <c r="A13" s="106">
        <v>10</v>
      </c>
      <c r="B13" s="82" t="s">
        <v>86</v>
      </c>
      <c r="C13" s="106">
        <v>64</v>
      </c>
      <c r="D13" s="106">
        <v>77</v>
      </c>
      <c r="E13" s="106">
        <v>70</v>
      </c>
      <c r="F13" s="106">
        <v>70</v>
      </c>
      <c r="G13" s="106">
        <v>70</v>
      </c>
      <c r="H13" s="106">
        <v>67</v>
      </c>
      <c r="I13" s="106">
        <v>71</v>
      </c>
      <c r="J13" s="106">
        <v>78</v>
      </c>
      <c r="K13" s="106">
        <v>74</v>
      </c>
      <c r="L13" s="106">
        <v>79</v>
      </c>
      <c r="M13" s="106">
        <v>80</v>
      </c>
      <c r="N13" s="106">
        <v>76</v>
      </c>
      <c r="O13" s="106">
        <v>80</v>
      </c>
      <c r="P13" s="106">
        <v>75</v>
      </c>
      <c r="Q13" s="106">
        <v>71</v>
      </c>
      <c r="R13" s="106">
        <v>76</v>
      </c>
      <c r="S13" s="106">
        <v>78</v>
      </c>
      <c r="T13" s="106">
        <v>75</v>
      </c>
      <c r="U13" s="106">
        <v>72</v>
      </c>
      <c r="V13" s="106">
        <v>74</v>
      </c>
      <c r="W13" s="106">
        <v>76</v>
      </c>
      <c r="X13" s="106">
        <v>68</v>
      </c>
      <c r="Y13" s="106">
        <v>77</v>
      </c>
      <c r="Z13" s="106">
        <v>56</v>
      </c>
      <c r="AA13" s="106">
        <v>76</v>
      </c>
      <c r="AB13" s="106">
        <v>73</v>
      </c>
      <c r="AC13" s="106">
        <v>64</v>
      </c>
      <c r="AD13" s="106">
        <v>81</v>
      </c>
      <c r="AE13" s="106">
        <v>67</v>
      </c>
      <c r="AF13" s="106">
        <v>63</v>
      </c>
      <c r="AG13" s="106">
        <v>73</v>
      </c>
      <c r="AH13" s="106">
        <v>67</v>
      </c>
      <c r="AI13" s="106">
        <v>78</v>
      </c>
    </row>
    <row r="14" spans="1:35" ht="12.75">
      <c r="A14" s="106">
        <v>11</v>
      </c>
      <c r="B14" s="82" t="s">
        <v>87</v>
      </c>
      <c r="C14" s="106">
        <v>462</v>
      </c>
      <c r="D14" s="106">
        <v>583</v>
      </c>
      <c r="E14" s="106">
        <v>538</v>
      </c>
      <c r="F14" s="106">
        <v>539</v>
      </c>
      <c r="G14" s="106">
        <v>535</v>
      </c>
      <c r="H14" s="106">
        <v>535</v>
      </c>
      <c r="I14" s="106">
        <v>581</v>
      </c>
      <c r="J14" s="106">
        <v>568</v>
      </c>
      <c r="K14" s="106">
        <v>574</v>
      </c>
      <c r="L14" s="106">
        <v>542</v>
      </c>
      <c r="M14" s="106">
        <v>614</v>
      </c>
      <c r="N14" s="106">
        <v>597</v>
      </c>
      <c r="O14" s="106">
        <v>626</v>
      </c>
      <c r="P14" s="106">
        <v>595</v>
      </c>
      <c r="Q14" s="106">
        <v>560</v>
      </c>
      <c r="R14" s="106">
        <v>564</v>
      </c>
      <c r="S14" s="106">
        <v>591</v>
      </c>
      <c r="T14" s="106">
        <v>553</v>
      </c>
      <c r="U14" s="106">
        <v>595</v>
      </c>
      <c r="V14" s="106">
        <v>544</v>
      </c>
      <c r="W14" s="106">
        <v>557</v>
      </c>
      <c r="X14" s="106">
        <v>513</v>
      </c>
      <c r="Y14" s="106">
        <v>602</v>
      </c>
      <c r="Z14" s="106">
        <v>505</v>
      </c>
      <c r="AA14" s="106">
        <v>602</v>
      </c>
      <c r="AB14" s="106">
        <v>595</v>
      </c>
      <c r="AC14" s="106">
        <v>562</v>
      </c>
      <c r="AD14" s="106">
        <v>603</v>
      </c>
      <c r="AE14" s="106">
        <v>555</v>
      </c>
      <c r="AF14" s="106">
        <v>598</v>
      </c>
      <c r="AG14" s="106">
        <v>546</v>
      </c>
      <c r="AH14" s="106">
        <v>543</v>
      </c>
      <c r="AI14" s="106">
        <v>620</v>
      </c>
    </row>
    <row r="15" spans="1:35" ht="12.75">
      <c r="A15" s="106">
        <v>12</v>
      </c>
      <c r="B15" s="82" t="s">
        <v>88</v>
      </c>
      <c r="C15" s="106">
        <v>172</v>
      </c>
      <c r="D15" s="106">
        <v>186</v>
      </c>
      <c r="E15" s="106">
        <v>161</v>
      </c>
      <c r="F15" s="106">
        <v>195</v>
      </c>
      <c r="G15" s="106">
        <v>193</v>
      </c>
      <c r="H15" s="106">
        <v>191</v>
      </c>
      <c r="I15" s="106">
        <v>201</v>
      </c>
      <c r="J15" s="106">
        <v>227</v>
      </c>
      <c r="K15" s="106">
        <v>220</v>
      </c>
      <c r="L15" s="106">
        <v>202</v>
      </c>
      <c r="M15" s="106">
        <v>233</v>
      </c>
      <c r="N15" s="106">
        <v>239</v>
      </c>
      <c r="O15" s="106">
        <v>219</v>
      </c>
      <c r="P15" s="106">
        <v>250</v>
      </c>
      <c r="Q15" s="106">
        <v>218</v>
      </c>
      <c r="R15" s="106">
        <v>232</v>
      </c>
      <c r="S15" s="106">
        <v>221</v>
      </c>
      <c r="T15" s="106">
        <v>198</v>
      </c>
      <c r="U15" s="106">
        <v>219</v>
      </c>
      <c r="V15" s="106">
        <v>212</v>
      </c>
      <c r="W15" s="106">
        <v>243</v>
      </c>
      <c r="X15" s="106">
        <v>197</v>
      </c>
      <c r="Y15" s="106">
        <v>226</v>
      </c>
      <c r="Z15" s="106">
        <v>193</v>
      </c>
      <c r="AA15" s="106">
        <v>224</v>
      </c>
      <c r="AB15" s="106">
        <v>212</v>
      </c>
      <c r="AC15" s="106">
        <v>196</v>
      </c>
      <c r="AD15" s="106">
        <v>212</v>
      </c>
      <c r="AE15" s="106">
        <v>213</v>
      </c>
      <c r="AF15" s="106">
        <v>231</v>
      </c>
      <c r="AG15" s="106">
        <v>214</v>
      </c>
      <c r="AH15" s="106">
        <v>211</v>
      </c>
      <c r="AI15" s="106">
        <v>245</v>
      </c>
    </row>
    <row r="16" spans="1:35" ht="12.75">
      <c r="A16" s="106">
        <v>13</v>
      </c>
      <c r="B16" s="82" t="s">
        <v>89</v>
      </c>
      <c r="C16" s="106">
        <v>197</v>
      </c>
      <c r="D16" s="106">
        <v>215</v>
      </c>
      <c r="E16" s="106">
        <v>192</v>
      </c>
      <c r="F16" s="106">
        <v>217</v>
      </c>
      <c r="G16" s="106">
        <v>200</v>
      </c>
      <c r="H16" s="106">
        <v>183</v>
      </c>
      <c r="I16" s="106">
        <v>202</v>
      </c>
      <c r="J16" s="106">
        <v>200</v>
      </c>
      <c r="K16" s="106">
        <v>196</v>
      </c>
      <c r="L16" s="106">
        <v>173</v>
      </c>
      <c r="M16" s="106">
        <v>209</v>
      </c>
      <c r="N16" s="106">
        <v>191</v>
      </c>
      <c r="O16" s="106">
        <v>206</v>
      </c>
      <c r="P16" s="106">
        <v>202</v>
      </c>
      <c r="Q16" s="106">
        <v>188</v>
      </c>
      <c r="R16" s="106">
        <v>205</v>
      </c>
      <c r="S16" s="106">
        <v>193</v>
      </c>
      <c r="T16" s="106">
        <v>188</v>
      </c>
      <c r="U16" s="106">
        <v>210</v>
      </c>
      <c r="V16" s="106">
        <v>184</v>
      </c>
      <c r="W16" s="106">
        <v>202</v>
      </c>
      <c r="X16" s="106">
        <v>189</v>
      </c>
      <c r="Y16" s="106">
        <v>193</v>
      </c>
      <c r="Z16" s="106">
        <v>177</v>
      </c>
      <c r="AA16" s="106">
        <v>203</v>
      </c>
      <c r="AB16" s="106">
        <v>192</v>
      </c>
      <c r="AC16" s="106">
        <v>195</v>
      </c>
      <c r="AD16" s="106">
        <v>204</v>
      </c>
      <c r="AE16" s="106">
        <v>185</v>
      </c>
      <c r="AF16" s="106">
        <v>196</v>
      </c>
      <c r="AG16" s="106">
        <v>176</v>
      </c>
      <c r="AH16" s="106">
        <v>189</v>
      </c>
      <c r="AI16" s="106">
        <v>209</v>
      </c>
    </row>
    <row r="17" spans="1:35" ht="12.75">
      <c r="A17" s="106">
        <v>14</v>
      </c>
      <c r="B17" s="82" t="s">
        <v>90</v>
      </c>
      <c r="C17" s="106">
        <v>3</v>
      </c>
      <c r="D17" s="106">
        <v>10</v>
      </c>
      <c r="E17" s="106">
        <v>6</v>
      </c>
      <c r="F17" s="106">
        <v>7</v>
      </c>
      <c r="G17" s="106">
        <v>10</v>
      </c>
      <c r="H17" s="106">
        <v>8</v>
      </c>
      <c r="I17" s="106">
        <v>11</v>
      </c>
      <c r="J17" s="106">
        <v>7</v>
      </c>
      <c r="K17" s="106">
        <v>10</v>
      </c>
      <c r="L17" s="106">
        <v>11</v>
      </c>
      <c r="M17" s="106">
        <v>13</v>
      </c>
      <c r="N17" s="106">
        <v>19</v>
      </c>
      <c r="O17" s="106">
        <v>18</v>
      </c>
      <c r="P17" s="106">
        <v>10</v>
      </c>
      <c r="Q17" s="106">
        <v>14</v>
      </c>
      <c r="R17" s="106">
        <v>17</v>
      </c>
      <c r="S17" s="106">
        <v>13</v>
      </c>
      <c r="T17" s="106">
        <v>12</v>
      </c>
      <c r="U17" s="106">
        <v>16</v>
      </c>
      <c r="V17" s="106">
        <v>11</v>
      </c>
      <c r="W17" s="106">
        <v>8</v>
      </c>
      <c r="X17" s="106">
        <v>13</v>
      </c>
      <c r="Y17" s="106">
        <v>6</v>
      </c>
      <c r="Z17" s="106">
        <v>12</v>
      </c>
      <c r="AA17" s="106">
        <v>10</v>
      </c>
      <c r="AB17" s="106">
        <v>15</v>
      </c>
      <c r="AC17" s="106">
        <v>11</v>
      </c>
      <c r="AD17" s="106">
        <v>14</v>
      </c>
      <c r="AE17" s="106">
        <v>14</v>
      </c>
      <c r="AF17" s="106">
        <v>22</v>
      </c>
      <c r="AG17" s="106">
        <v>19</v>
      </c>
      <c r="AH17" s="106">
        <v>18</v>
      </c>
      <c r="AI17" s="106">
        <v>31</v>
      </c>
    </row>
    <row r="18" spans="1:35" ht="12.75">
      <c r="A18" s="106">
        <v>15</v>
      </c>
      <c r="B18" s="82" t="s">
        <v>91</v>
      </c>
      <c r="C18" s="106"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34</v>
      </c>
      <c r="Y18" s="106">
        <v>82</v>
      </c>
      <c r="Z18" s="106">
        <v>100</v>
      </c>
      <c r="AA18" s="106">
        <v>146</v>
      </c>
      <c r="AB18" s="106">
        <v>155</v>
      </c>
      <c r="AC18" s="106">
        <v>156</v>
      </c>
      <c r="AD18" s="106">
        <v>162</v>
      </c>
      <c r="AE18" s="106">
        <v>171</v>
      </c>
      <c r="AF18" s="106">
        <v>214</v>
      </c>
      <c r="AG18" s="106">
        <v>234</v>
      </c>
      <c r="AH18" s="106">
        <v>208</v>
      </c>
      <c r="AI18" s="106">
        <v>258</v>
      </c>
    </row>
    <row r="19" spans="1:35" ht="12.75">
      <c r="A19" s="106">
        <v>16</v>
      </c>
      <c r="B19" s="82" t="s">
        <v>92</v>
      </c>
      <c r="C19" s="106">
        <v>62</v>
      </c>
      <c r="D19" s="106">
        <v>126</v>
      </c>
      <c r="E19" s="106">
        <v>140</v>
      </c>
      <c r="F19" s="106">
        <v>121</v>
      </c>
      <c r="G19" s="106">
        <v>134</v>
      </c>
      <c r="H19" s="106">
        <v>138</v>
      </c>
      <c r="I19" s="106">
        <v>147</v>
      </c>
      <c r="J19" s="106">
        <v>114</v>
      </c>
      <c r="K19" s="106">
        <v>136</v>
      </c>
      <c r="L19" s="106">
        <v>126</v>
      </c>
      <c r="M19" s="106">
        <v>162</v>
      </c>
      <c r="N19" s="106">
        <v>172</v>
      </c>
      <c r="O19" s="106">
        <v>196</v>
      </c>
      <c r="P19" s="106">
        <v>202</v>
      </c>
      <c r="Q19" s="106">
        <v>180</v>
      </c>
      <c r="R19" s="106">
        <v>210</v>
      </c>
      <c r="S19" s="106">
        <v>197</v>
      </c>
      <c r="T19" s="106">
        <v>222</v>
      </c>
      <c r="U19" s="106">
        <v>216</v>
      </c>
      <c r="V19" s="106">
        <v>215</v>
      </c>
      <c r="W19" s="106">
        <v>231</v>
      </c>
      <c r="X19" s="106">
        <v>234</v>
      </c>
      <c r="Y19" s="106">
        <v>265</v>
      </c>
      <c r="Z19" s="106">
        <v>232</v>
      </c>
      <c r="AA19" s="106">
        <v>253</v>
      </c>
      <c r="AB19" s="106">
        <v>263</v>
      </c>
      <c r="AC19" s="106">
        <v>231</v>
      </c>
      <c r="AD19" s="106">
        <v>256</v>
      </c>
      <c r="AE19" s="106">
        <v>247</v>
      </c>
      <c r="AF19" s="106">
        <v>288</v>
      </c>
      <c r="AG19" s="106">
        <v>247</v>
      </c>
      <c r="AH19" s="106">
        <v>244</v>
      </c>
      <c r="AI19" s="106">
        <v>290</v>
      </c>
    </row>
    <row r="20" spans="1:35" ht="12.75">
      <c r="A20" s="106">
        <v>17</v>
      </c>
      <c r="B20" s="82" t="s">
        <v>93</v>
      </c>
      <c r="C20" s="106">
        <v>4</v>
      </c>
      <c r="D20" s="106">
        <v>12</v>
      </c>
      <c r="E20" s="106">
        <v>10</v>
      </c>
      <c r="F20" s="106">
        <v>10</v>
      </c>
      <c r="G20" s="106">
        <v>14</v>
      </c>
      <c r="H20" s="106">
        <v>16</v>
      </c>
      <c r="I20" s="106">
        <v>22</v>
      </c>
      <c r="J20" s="106">
        <v>19</v>
      </c>
      <c r="K20" s="106">
        <v>14</v>
      </c>
      <c r="L20" s="106">
        <v>20</v>
      </c>
      <c r="M20" s="106">
        <v>27</v>
      </c>
      <c r="N20" s="106">
        <v>19</v>
      </c>
      <c r="O20" s="106">
        <v>24</v>
      </c>
      <c r="P20" s="106">
        <v>23</v>
      </c>
      <c r="Q20" s="106">
        <v>17</v>
      </c>
      <c r="R20" s="106">
        <v>21</v>
      </c>
      <c r="S20" s="106">
        <v>24</v>
      </c>
      <c r="T20" s="106">
        <v>17</v>
      </c>
      <c r="U20" s="106">
        <v>30</v>
      </c>
      <c r="V20" s="106">
        <v>28</v>
      </c>
      <c r="W20" s="106">
        <v>25</v>
      </c>
      <c r="X20" s="106">
        <v>24</v>
      </c>
      <c r="Y20" s="106">
        <v>32</v>
      </c>
      <c r="Z20" s="106">
        <v>22</v>
      </c>
      <c r="AA20" s="106">
        <v>34</v>
      </c>
      <c r="AB20" s="106">
        <v>28</v>
      </c>
      <c r="AC20" s="106">
        <v>28</v>
      </c>
      <c r="AD20" s="106">
        <v>40</v>
      </c>
      <c r="AE20" s="106">
        <v>26</v>
      </c>
      <c r="AF20" s="106">
        <v>43</v>
      </c>
      <c r="AG20" s="106">
        <v>29</v>
      </c>
      <c r="AH20" s="106">
        <v>28</v>
      </c>
      <c r="AI20" s="106">
        <v>35</v>
      </c>
    </row>
    <row r="21" spans="1:35" ht="12.75">
      <c r="A21" s="106">
        <v>18</v>
      </c>
      <c r="B21" s="82" t="s">
        <v>94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5</v>
      </c>
      <c r="L21" s="106">
        <v>13</v>
      </c>
      <c r="M21" s="106">
        <v>31</v>
      </c>
      <c r="N21" s="106">
        <v>43</v>
      </c>
      <c r="O21" s="106">
        <v>51</v>
      </c>
      <c r="P21" s="106">
        <v>80</v>
      </c>
      <c r="Q21" s="106">
        <v>71</v>
      </c>
      <c r="R21" s="106">
        <v>87</v>
      </c>
      <c r="S21" s="106">
        <v>111</v>
      </c>
      <c r="T21" s="106">
        <v>115</v>
      </c>
      <c r="U21" s="106">
        <v>112</v>
      </c>
      <c r="V21" s="106">
        <v>135</v>
      </c>
      <c r="W21" s="106">
        <v>141</v>
      </c>
      <c r="X21" s="106">
        <v>159</v>
      </c>
      <c r="Y21" s="106">
        <v>168</v>
      </c>
      <c r="Z21" s="106">
        <v>128</v>
      </c>
      <c r="AA21" s="106">
        <v>162</v>
      </c>
      <c r="AB21" s="106">
        <v>163</v>
      </c>
      <c r="AC21" s="106">
        <v>156</v>
      </c>
      <c r="AD21" s="106">
        <v>159</v>
      </c>
      <c r="AE21" s="106">
        <v>155</v>
      </c>
      <c r="AF21" s="106">
        <v>189</v>
      </c>
      <c r="AG21" s="106">
        <v>179</v>
      </c>
      <c r="AH21" s="106">
        <v>147</v>
      </c>
      <c r="AI21" s="106">
        <v>188</v>
      </c>
    </row>
    <row r="22" spans="1:35" ht="12.75">
      <c r="A22" s="106">
        <v>19</v>
      </c>
      <c r="B22" s="82" t="s">
        <v>95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2</v>
      </c>
      <c r="X22" s="106">
        <v>9</v>
      </c>
      <c r="Y22" s="106">
        <v>26</v>
      </c>
      <c r="Z22" s="106">
        <v>25</v>
      </c>
      <c r="AA22" s="106">
        <v>29</v>
      </c>
      <c r="AB22" s="106">
        <v>35</v>
      </c>
      <c r="AC22" s="106">
        <v>39</v>
      </c>
      <c r="AD22" s="106">
        <v>37</v>
      </c>
      <c r="AE22" s="106">
        <v>39</v>
      </c>
      <c r="AF22" s="106">
        <v>41</v>
      </c>
      <c r="AG22" s="106">
        <v>38</v>
      </c>
      <c r="AH22" s="106">
        <v>37</v>
      </c>
      <c r="AI22" s="106">
        <v>54</v>
      </c>
    </row>
    <row r="23" spans="1:35" ht="12.75">
      <c r="A23" s="106">
        <v>20</v>
      </c>
      <c r="B23" s="82" t="s">
        <v>96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7</v>
      </c>
      <c r="Y23" s="106">
        <v>9</v>
      </c>
      <c r="Z23" s="106">
        <v>9</v>
      </c>
      <c r="AA23" s="106">
        <v>23</v>
      </c>
      <c r="AB23" s="106">
        <v>20</v>
      </c>
      <c r="AC23" s="106">
        <v>26</v>
      </c>
      <c r="AD23" s="106">
        <v>28</v>
      </c>
      <c r="AE23" s="106">
        <v>31</v>
      </c>
      <c r="AF23" s="106">
        <v>45</v>
      </c>
      <c r="AG23" s="106">
        <v>32</v>
      </c>
      <c r="AH23" s="106">
        <v>29</v>
      </c>
      <c r="AI23" s="106">
        <v>37</v>
      </c>
    </row>
    <row r="24" spans="1:35" ht="12.75">
      <c r="A24" s="106">
        <v>21</v>
      </c>
      <c r="B24" s="82" t="s">
        <v>97</v>
      </c>
      <c r="C24" s="106">
        <v>5</v>
      </c>
      <c r="D24" s="106">
        <v>11</v>
      </c>
      <c r="E24" s="106">
        <v>8</v>
      </c>
      <c r="F24" s="106">
        <v>7</v>
      </c>
      <c r="G24" s="106">
        <v>7</v>
      </c>
      <c r="H24" s="106">
        <v>13</v>
      </c>
      <c r="I24" s="106">
        <v>13</v>
      </c>
      <c r="J24" s="106">
        <v>10</v>
      </c>
      <c r="K24" s="106">
        <v>14</v>
      </c>
      <c r="L24" s="106">
        <v>9</v>
      </c>
      <c r="M24" s="106">
        <v>12</v>
      </c>
      <c r="N24" s="106">
        <v>11</v>
      </c>
      <c r="O24" s="106">
        <v>17</v>
      </c>
      <c r="P24" s="106">
        <v>11</v>
      </c>
      <c r="Q24" s="106">
        <v>12</v>
      </c>
      <c r="R24" s="106">
        <v>14</v>
      </c>
      <c r="S24" s="106">
        <v>16</v>
      </c>
      <c r="T24" s="106">
        <v>13</v>
      </c>
      <c r="U24" s="106">
        <v>11</v>
      </c>
      <c r="V24" s="106">
        <v>14</v>
      </c>
      <c r="W24" s="106">
        <v>18</v>
      </c>
      <c r="X24" s="106">
        <v>14</v>
      </c>
      <c r="Y24" s="106">
        <v>10</v>
      </c>
      <c r="Z24" s="106">
        <v>12</v>
      </c>
      <c r="AA24" s="106">
        <v>14</v>
      </c>
      <c r="AB24" s="106">
        <v>15</v>
      </c>
      <c r="AC24" s="106">
        <v>12</v>
      </c>
      <c r="AD24" s="106">
        <v>18</v>
      </c>
      <c r="AE24" s="106">
        <v>16</v>
      </c>
      <c r="AF24" s="106">
        <v>21</v>
      </c>
      <c r="AG24" s="106">
        <v>18</v>
      </c>
      <c r="AH24" s="106">
        <v>12</v>
      </c>
      <c r="AI24" s="106">
        <v>17</v>
      </c>
    </row>
    <row r="25" spans="1:35" ht="25.5">
      <c r="A25" s="106">
        <v>22</v>
      </c>
      <c r="B25" s="82" t="s">
        <v>98</v>
      </c>
      <c r="C25" s="106">
        <v>70</v>
      </c>
      <c r="D25" s="106">
        <v>88</v>
      </c>
      <c r="E25" s="106">
        <v>77</v>
      </c>
      <c r="F25" s="106">
        <v>86</v>
      </c>
      <c r="G25" s="106">
        <v>85</v>
      </c>
      <c r="H25" s="106">
        <v>69</v>
      </c>
      <c r="I25" s="106">
        <v>81</v>
      </c>
      <c r="J25" s="106">
        <v>78</v>
      </c>
      <c r="K25" s="106">
        <v>75</v>
      </c>
      <c r="L25" s="106">
        <v>65</v>
      </c>
      <c r="M25" s="106">
        <v>90</v>
      </c>
      <c r="N25" s="106">
        <v>78</v>
      </c>
      <c r="O25" s="106">
        <v>86</v>
      </c>
      <c r="P25" s="106">
        <v>71</v>
      </c>
      <c r="Q25" s="106">
        <v>67</v>
      </c>
      <c r="R25" s="106">
        <v>64</v>
      </c>
      <c r="S25" s="106">
        <v>77</v>
      </c>
      <c r="T25" s="106">
        <v>70</v>
      </c>
      <c r="U25" s="106">
        <v>66</v>
      </c>
      <c r="V25" s="106">
        <v>71</v>
      </c>
      <c r="W25" s="106">
        <v>61</v>
      </c>
      <c r="X25" s="106">
        <v>67</v>
      </c>
      <c r="Y25" s="106">
        <v>67</v>
      </c>
      <c r="Z25" s="106">
        <v>64</v>
      </c>
      <c r="AA25" s="106">
        <v>76</v>
      </c>
      <c r="AB25" s="106">
        <v>68</v>
      </c>
      <c r="AC25" s="106">
        <v>63</v>
      </c>
      <c r="AD25" s="106">
        <v>60</v>
      </c>
      <c r="AE25" s="106">
        <v>68</v>
      </c>
      <c r="AF25" s="106">
        <v>57</v>
      </c>
      <c r="AG25" s="106">
        <v>70</v>
      </c>
      <c r="AH25" s="106">
        <v>64</v>
      </c>
      <c r="AI25" s="106">
        <v>63</v>
      </c>
    </row>
    <row r="26" spans="1:35" ht="25.5">
      <c r="A26" s="106">
        <v>23</v>
      </c>
      <c r="B26" s="82" t="s">
        <v>99</v>
      </c>
      <c r="C26" s="106">
        <v>32</v>
      </c>
      <c r="D26" s="106">
        <v>47</v>
      </c>
      <c r="E26" s="106">
        <v>52</v>
      </c>
      <c r="F26" s="106">
        <v>33</v>
      </c>
      <c r="G26" s="106">
        <v>37</v>
      </c>
      <c r="H26" s="106">
        <v>27</v>
      </c>
      <c r="I26" s="106">
        <v>34</v>
      </c>
      <c r="J26" s="106">
        <v>31</v>
      </c>
      <c r="K26" s="106">
        <v>32</v>
      </c>
      <c r="L26" s="106">
        <v>31</v>
      </c>
      <c r="M26" s="106">
        <v>38</v>
      </c>
      <c r="N26" s="106">
        <v>31</v>
      </c>
      <c r="O26" s="106">
        <v>40</v>
      </c>
      <c r="P26" s="106">
        <v>31</v>
      </c>
      <c r="Q26" s="106">
        <v>27</v>
      </c>
      <c r="R26" s="106">
        <v>31</v>
      </c>
      <c r="S26" s="106">
        <v>35</v>
      </c>
      <c r="T26" s="106">
        <v>33</v>
      </c>
      <c r="U26" s="106">
        <v>33</v>
      </c>
      <c r="V26" s="106">
        <v>40</v>
      </c>
      <c r="W26" s="106">
        <v>35</v>
      </c>
      <c r="X26" s="106">
        <v>33</v>
      </c>
      <c r="Y26" s="106">
        <v>31</v>
      </c>
      <c r="Z26" s="106">
        <v>29</v>
      </c>
      <c r="AA26" s="106">
        <v>31</v>
      </c>
      <c r="AB26" s="106">
        <v>26</v>
      </c>
      <c r="AC26" s="106">
        <v>29</v>
      </c>
      <c r="AD26" s="106">
        <v>34</v>
      </c>
      <c r="AE26" s="106">
        <v>25</v>
      </c>
      <c r="AF26" s="106">
        <v>36</v>
      </c>
      <c r="AG26" s="106">
        <v>30</v>
      </c>
      <c r="AH26" s="106">
        <v>29</v>
      </c>
      <c r="AI26" s="106">
        <v>28</v>
      </c>
    </row>
    <row r="27" spans="1:35" ht="25.5">
      <c r="A27" s="106">
        <v>24</v>
      </c>
      <c r="B27" s="82" t="s">
        <v>100</v>
      </c>
      <c r="C27" s="106">
        <v>16</v>
      </c>
      <c r="D27" s="106">
        <v>14</v>
      </c>
      <c r="E27" s="106">
        <v>11</v>
      </c>
      <c r="F27" s="106">
        <v>14</v>
      </c>
      <c r="G27" s="106">
        <v>16</v>
      </c>
      <c r="H27" s="106">
        <v>19</v>
      </c>
      <c r="I27" s="106">
        <v>17</v>
      </c>
      <c r="J27" s="106">
        <v>15</v>
      </c>
      <c r="K27" s="106">
        <v>19</v>
      </c>
      <c r="L27" s="106">
        <v>19</v>
      </c>
      <c r="M27" s="106">
        <v>15</v>
      </c>
      <c r="N27" s="106">
        <v>15</v>
      </c>
      <c r="O27" s="106">
        <v>12</v>
      </c>
      <c r="P27" s="106">
        <v>13</v>
      </c>
      <c r="Q27" s="106">
        <v>13</v>
      </c>
      <c r="R27" s="106">
        <v>13</v>
      </c>
      <c r="S27" s="106">
        <v>18</v>
      </c>
      <c r="T27" s="106">
        <v>14</v>
      </c>
      <c r="U27" s="106">
        <v>18</v>
      </c>
      <c r="V27" s="106">
        <v>15</v>
      </c>
      <c r="W27" s="106">
        <v>17</v>
      </c>
      <c r="X27" s="106">
        <v>13</v>
      </c>
      <c r="Y27" s="106">
        <v>16</v>
      </c>
      <c r="Z27" s="106">
        <v>15</v>
      </c>
      <c r="AA27" s="106">
        <v>21</v>
      </c>
      <c r="AB27" s="106">
        <v>17</v>
      </c>
      <c r="AC27" s="106">
        <v>19</v>
      </c>
      <c r="AD27" s="106">
        <v>17</v>
      </c>
      <c r="AE27" s="106">
        <v>20</v>
      </c>
      <c r="AF27" s="106">
        <v>15</v>
      </c>
      <c r="AG27" s="106">
        <v>13</v>
      </c>
      <c r="AH27" s="106">
        <v>17</v>
      </c>
      <c r="AI27" s="106">
        <v>22</v>
      </c>
    </row>
    <row r="28" spans="1:35" ht="25.5">
      <c r="A28" s="106">
        <v>25</v>
      </c>
      <c r="B28" s="82" t="s">
        <v>101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106">
        <v>47</v>
      </c>
      <c r="Z28" s="106">
        <v>92</v>
      </c>
      <c r="AA28" s="106">
        <v>157</v>
      </c>
      <c r="AB28" s="106">
        <v>200</v>
      </c>
      <c r="AC28" s="106">
        <v>209</v>
      </c>
      <c r="AD28" s="106">
        <v>252</v>
      </c>
      <c r="AE28" s="106">
        <v>245</v>
      </c>
      <c r="AF28" s="106">
        <v>273</v>
      </c>
      <c r="AG28" s="106">
        <v>271</v>
      </c>
      <c r="AH28" s="106">
        <v>284</v>
      </c>
      <c r="AI28" s="106">
        <v>323</v>
      </c>
    </row>
    <row r="29" spans="1:35" ht="25.5">
      <c r="A29" s="106">
        <v>26</v>
      </c>
      <c r="B29" s="82" t="s">
        <v>102</v>
      </c>
      <c r="C29" s="106">
        <v>457</v>
      </c>
      <c r="D29" s="106">
        <v>565</v>
      </c>
      <c r="E29" s="106">
        <v>505</v>
      </c>
      <c r="F29" s="106">
        <v>531</v>
      </c>
      <c r="G29" s="106">
        <v>523</v>
      </c>
      <c r="H29" s="106">
        <v>524</v>
      </c>
      <c r="I29" s="106">
        <v>601</v>
      </c>
      <c r="J29" s="106">
        <v>576</v>
      </c>
      <c r="K29" s="106">
        <v>579</v>
      </c>
      <c r="L29" s="106">
        <v>556</v>
      </c>
      <c r="M29" s="106">
        <v>634</v>
      </c>
      <c r="N29" s="106">
        <v>604</v>
      </c>
      <c r="O29" s="106">
        <v>623</v>
      </c>
      <c r="P29" s="106">
        <v>594</v>
      </c>
      <c r="Q29" s="106">
        <v>571</v>
      </c>
      <c r="R29" s="106">
        <v>601</v>
      </c>
      <c r="S29" s="106">
        <v>590</v>
      </c>
      <c r="T29" s="106">
        <v>566</v>
      </c>
      <c r="U29" s="106">
        <v>626</v>
      </c>
      <c r="V29" s="106">
        <v>582</v>
      </c>
      <c r="W29" s="106">
        <v>574</v>
      </c>
      <c r="X29" s="106">
        <v>512</v>
      </c>
      <c r="Y29" s="106">
        <v>566</v>
      </c>
      <c r="Z29" s="106">
        <v>422</v>
      </c>
      <c r="AA29" s="106">
        <v>461</v>
      </c>
      <c r="AB29" s="106">
        <v>408</v>
      </c>
      <c r="AC29" s="106">
        <v>337</v>
      </c>
      <c r="AD29" s="106">
        <v>376</v>
      </c>
      <c r="AE29" s="106">
        <v>333</v>
      </c>
      <c r="AF29" s="106">
        <v>346</v>
      </c>
      <c r="AG29" s="106">
        <v>316</v>
      </c>
      <c r="AH29" s="106">
        <v>279</v>
      </c>
      <c r="AI29" s="106">
        <v>317</v>
      </c>
    </row>
    <row r="30" spans="1:35" ht="25.5">
      <c r="A30" s="106">
        <v>27</v>
      </c>
      <c r="B30" s="82" t="s">
        <v>103</v>
      </c>
      <c r="C30" s="106">
        <v>347</v>
      </c>
      <c r="D30" s="106">
        <v>413</v>
      </c>
      <c r="E30" s="106">
        <v>360</v>
      </c>
      <c r="F30" s="106">
        <v>378</v>
      </c>
      <c r="G30" s="106">
        <v>374</v>
      </c>
      <c r="H30" s="106">
        <v>385</v>
      </c>
      <c r="I30" s="106">
        <v>401</v>
      </c>
      <c r="J30" s="106">
        <v>388</v>
      </c>
      <c r="K30" s="106">
        <v>341</v>
      </c>
      <c r="L30" s="106">
        <v>308</v>
      </c>
      <c r="M30" s="106">
        <v>402</v>
      </c>
      <c r="N30" s="106">
        <v>362</v>
      </c>
      <c r="O30" s="106">
        <v>362</v>
      </c>
      <c r="P30" s="106">
        <v>369</v>
      </c>
      <c r="Q30" s="106">
        <v>342</v>
      </c>
      <c r="R30" s="106">
        <v>372</v>
      </c>
      <c r="S30" s="106">
        <v>381</v>
      </c>
      <c r="T30" s="106">
        <v>368</v>
      </c>
      <c r="U30" s="106">
        <v>352</v>
      </c>
      <c r="V30" s="106">
        <v>382</v>
      </c>
      <c r="W30" s="106">
        <v>347</v>
      </c>
      <c r="X30" s="106">
        <v>351</v>
      </c>
      <c r="Y30" s="106">
        <v>349</v>
      </c>
      <c r="Z30" s="106">
        <v>312</v>
      </c>
      <c r="AA30" s="106">
        <v>353</v>
      </c>
      <c r="AB30" s="106">
        <v>330</v>
      </c>
      <c r="AC30" s="106">
        <v>291</v>
      </c>
      <c r="AD30" s="106">
        <v>310</v>
      </c>
      <c r="AE30" s="106">
        <v>316</v>
      </c>
      <c r="AF30" s="106">
        <v>360</v>
      </c>
      <c r="AG30" s="106">
        <v>311</v>
      </c>
      <c r="AH30" s="106">
        <v>297</v>
      </c>
      <c r="AI30" s="106">
        <v>320</v>
      </c>
    </row>
    <row r="31" spans="1:35" ht="25.5">
      <c r="A31" s="106">
        <v>28</v>
      </c>
      <c r="B31" s="82" t="s">
        <v>104</v>
      </c>
      <c r="C31" s="106">
        <v>119</v>
      </c>
      <c r="D31" s="106">
        <v>164</v>
      </c>
      <c r="E31" s="106">
        <v>149</v>
      </c>
      <c r="F31" s="106">
        <v>116</v>
      </c>
      <c r="G31" s="106">
        <v>135</v>
      </c>
      <c r="H31" s="106">
        <v>125</v>
      </c>
      <c r="I31" s="106">
        <v>128</v>
      </c>
      <c r="J31" s="106">
        <v>140</v>
      </c>
      <c r="K31" s="106">
        <v>121</v>
      </c>
      <c r="L31" s="106">
        <v>121</v>
      </c>
      <c r="M31" s="106">
        <v>132</v>
      </c>
      <c r="N31" s="106">
        <v>109</v>
      </c>
      <c r="O31" s="106">
        <v>135</v>
      </c>
      <c r="P31" s="106">
        <v>118</v>
      </c>
      <c r="Q31" s="106">
        <v>110</v>
      </c>
      <c r="R31" s="106">
        <v>125</v>
      </c>
      <c r="S31" s="106">
        <v>132</v>
      </c>
      <c r="T31" s="106">
        <v>133</v>
      </c>
      <c r="U31" s="106">
        <v>119</v>
      </c>
      <c r="V31" s="106">
        <v>129</v>
      </c>
      <c r="W31" s="106">
        <v>130</v>
      </c>
      <c r="X31" s="106">
        <v>112</v>
      </c>
      <c r="Y31" s="106">
        <v>130</v>
      </c>
      <c r="Z31" s="106">
        <v>109</v>
      </c>
      <c r="AA31" s="106">
        <v>112</v>
      </c>
      <c r="AB31" s="106">
        <v>116</v>
      </c>
      <c r="AC31" s="106">
        <v>99</v>
      </c>
      <c r="AD31" s="106">
        <v>117</v>
      </c>
      <c r="AE31" s="106">
        <v>106</v>
      </c>
      <c r="AF31" s="106">
        <v>121</v>
      </c>
      <c r="AG31" s="106">
        <v>108</v>
      </c>
      <c r="AH31" s="106">
        <v>89</v>
      </c>
      <c r="AI31" s="106">
        <v>114</v>
      </c>
    </row>
    <row r="32" spans="1:35" ht="12.75">
      <c r="A32" s="106">
        <v>29</v>
      </c>
      <c r="B32" s="82" t="s">
        <v>107</v>
      </c>
      <c r="C32" s="106">
        <v>0</v>
      </c>
      <c r="D32" s="106">
        <v>0</v>
      </c>
      <c r="E32" s="106">
        <v>0</v>
      </c>
      <c r="F32" s="106">
        <v>0</v>
      </c>
      <c r="G32" s="106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  <c r="T32" s="106">
        <v>0</v>
      </c>
      <c r="U32" s="106">
        <v>0</v>
      </c>
      <c r="V32" s="106">
        <v>0</v>
      </c>
      <c r="W32" s="106">
        <v>0</v>
      </c>
      <c r="X32" s="106">
        <v>0</v>
      </c>
      <c r="Y32" s="106">
        <v>0</v>
      </c>
      <c r="Z32" s="106">
        <v>0</v>
      </c>
      <c r="AA32" s="106">
        <v>0</v>
      </c>
      <c r="AB32" s="106">
        <v>0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5</v>
      </c>
    </row>
    <row r="34" spans="1:35" s="70" customFormat="1" ht="13.5" thickBot="1">
      <c r="A34" s="94" t="s">
        <v>112</v>
      </c>
      <c r="B34" s="94" t="s">
        <v>111</v>
      </c>
      <c r="C34" s="105">
        <v>38108</v>
      </c>
      <c r="D34" s="105">
        <v>38139</v>
      </c>
      <c r="E34" s="105">
        <v>38169</v>
      </c>
      <c r="F34" s="105">
        <v>38200</v>
      </c>
      <c r="G34" s="105">
        <v>38231</v>
      </c>
      <c r="H34" s="105">
        <v>38261</v>
      </c>
      <c r="I34" s="105">
        <v>38292</v>
      </c>
      <c r="J34" s="105">
        <v>38322</v>
      </c>
      <c r="K34" s="105">
        <v>38353</v>
      </c>
      <c r="L34" s="105">
        <v>38384</v>
      </c>
      <c r="M34" s="105">
        <v>38412</v>
      </c>
      <c r="N34" s="105">
        <v>38443</v>
      </c>
      <c r="O34" s="105">
        <v>38473</v>
      </c>
      <c r="P34" s="105">
        <v>38504</v>
      </c>
      <c r="Q34" s="105">
        <v>38534</v>
      </c>
      <c r="R34" s="105">
        <v>38565</v>
      </c>
      <c r="S34" s="105">
        <v>38596</v>
      </c>
      <c r="T34" s="105">
        <v>38626</v>
      </c>
      <c r="U34" s="105">
        <v>38657</v>
      </c>
      <c r="V34" s="105">
        <v>38687</v>
      </c>
      <c r="W34" s="105">
        <v>38718</v>
      </c>
      <c r="X34" s="105">
        <v>38749</v>
      </c>
      <c r="Y34" s="105">
        <v>38777</v>
      </c>
      <c r="Z34" s="105">
        <v>38808</v>
      </c>
      <c r="AA34" s="105">
        <v>38838</v>
      </c>
      <c r="AB34" s="105">
        <v>38869</v>
      </c>
      <c r="AC34" s="105">
        <v>38899</v>
      </c>
      <c r="AD34" s="105">
        <v>38930</v>
      </c>
      <c r="AE34" s="105">
        <v>38961</v>
      </c>
      <c r="AF34" s="105">
        <v>38991</v>
      </c>
      <c r="AG34" s="105">
        <v>39022</v>
      </c>
      <c r="AH34" s="105">
        <v>39052</v>
      </c>
      <c r="AI34" s="105">
        <v>39083</v>
      </c>
    </row>
    <row r="35" spans="1:35" ht="26.25" thickTop="1">
      <c r="A35">
        <v>1</v>
      </c>
      <c r="B35" s="92" t="s">
        <v>77</v>
      </c>
      <c r="C35" s="104">
        <f>VLOOKUP(1,$A$4:$AZ$32,3,FALSE)</f>
        <v>0</v>
      </c>
      <c r="D35" s="104">
        <f>VLOOKUP(1,$A$4:$AZ$32,4,FALSE)</f>
        <v>0</v>
      </c>
      <c r="E35" s="104">
        <f>VLOOKUP(1,$A$4:$AZ$32,5,FALSE)</f>
        <v>0</v>
      </c>
      <c r="F35" s="104">
        <f>VLOOKUP(1,$A$4:$AZ$32,6,FALSE)</f>
        <v>0</v>
      </c>
      <c r="G35" s="104">
        <f>VLOOKUP(1,$A$4:$AZ$32,7,FALSE)</f>
        <v>0</v>
      </c>
      <c r="H35" s="104">
        <f>VLOOKUP(1,$A$4:$AZ$32,8,FALSE)</f>
        <v>0</v>
      </c>
      <c r="I35" s="104">
        <f>VLOOKUP(1,$A$4:$AZ$32,9,FALSE)</f>
        <v>0</v>
      </c>
      <c r="J35" s="104">
        <f>VLOOKUP(1,$A$4:$AZ$32,10,FALSE)</f>
        <v>0</v>
      </c>
      <c r="K35" s="104">
        <f>VLOOKUP(1,$A$4:$AZ$32,11,FALSE)</f>
        <v>0</v>
      </c>
      <c r="L35" s="104">
        <f>VLOOKUP(1,$A$4:$AZ$32,12,FALSE)</f>
        <v>0</v>
      </c>
      <c r="M35" s="104">
        <f>VLOOKUP(1,$A$4:$AZ$32,13,FALSE)</f>
        <v>0</v>
      </c>
      <c r="N35" s="104">
        <f>VLOOKUP(1,$A$4:$AZ$32,14,FALSE)</f>
        <v>0</v>
      </c>
      <c r="O35" s="104">
        <f>VLOOKUP(1,$A$4:$AZ$32,15,FALSE)</f>
        <v>0</v>
      </c>
      <c r="P35" s="104">
        <f>VLOOKUP(1,$A$4:$AZ$32,16,FALSE)</f>
        <v>0</v>
      </c>
      <c r="Q35" s="104">
        <f>VLOOKUP(1,$A$4:$AZ$32,17,FALSE)</f>
        <v>0</v>
      </c>
      <c r="R35" s="104">
        <f>VLOOKUP(1,$A$4:$AZ$32,18,FALSE)</f>
        <v>0</v>
      </c>
      <c r="S35" s="104">
        <f>VLOOKUP(1,$A$4:$AZ$32,19,FALSE)</f>
        <v>0</v>
      </c>
      <c r="T35" s="104">
        <f>VLOOKUP(1,$A$4:$AZ$32,20,FALSE)</f>
        <v>0</v>
      </c>
      <c r="U35" s="104">
        <f>VLOOKUP(1,$A$4:$AZ$32,21,FALSE)</f>
        <v>0</v>
      </c>
      <c r="V35" s="104">
        <f>VLOOKUP(1,$A$4:$AZ$32,22,FALSE)</f>
        <v>2</v>
      </c>
      <c r="W35" s="104">
        <f>VLOOKUP(1,$A$4:$AZ$32,23,FALSE)</f>
        <v>4</v>
      </c>
      <c r="X35" s="104">
        <f>VLOOKUP(1,$A$4:$AZ$32,24,FALSE)</f>
        <v>1</v>
      </c>
      <c r="Y35" s="104">
        <f>VLOOKUP(1,$A$4:$AZ$32,25,FALSE)</f>
        <v>6</v>
      </c>
      <c r="Z35" s="104">
        <f>VLOOKUP(1,$A$4:$AZ$32,26,FALSE)</f>
        <v>6</v>
      </c>
      <c r="AA35" s="104">
        <f>VLOOKUP(1,$A$4:$AZ$32,27,FALSE)</f>
        <v>6</v>
      </c>
      <c r="AB35" s="104">
        <f>VLOOKUP(1,$A$4:$AZ$32,28,FALSE)</f>
        <v>7</v>
      </c>
      <c r="AC35" s="104">
        <f>VLOOKUP(1,$A$4:$AZ$32,29,FALSE)</f>
        <v>7</v>
      </c>
      <c r="AD35" s="104">
        <f>VLOOKUP(1,$A$4:$AZ$32,30,FALSE)</f>
        <v>9</v>
      </c>
      <c r="AE35" s="104">
        <f>VLOOKUP(1,$A$4:$AZ$32,31,FALSE)</f>
        <v>9</v>
      </c>
      <c r="AF35" s="104">
        <f>VLOOKUP(1,$A$4:$AZ$32,32,FALSE)</f>
        <v>9</v>
      </c>
      <c r="AG35" s="104">
        <f>VLOOKUP(1,$A$4:$AZ$32,33,FALSE)</f>
        <v>10</v>
      </c>
      <c r="AH35" s="104">
        <f>VLOOKUP(1,$A$4:$AZ$32,34,FALSE)</f>
        <v>6</v>
      </c>
      <c r="AI35" s="104">
        <f>VLOOKUP(1,$A$4:$AZ$32,35,FALSE)</f>
        <v>15</v>
      </c>
    </row>
    <row r="36" spans="1:35" ht="25.5">
      <c r="A36">
        <v>2</v>
      </c>
      <c r="B36" s="78" t="s">
        <v>78</v>
      </c>
      <c r="C36" s="104">
        <f>VLOOKUP(2,$A$4:$AZ$32,3,FALSE)</f>
        <v>554</v>
      </c>
      <c r="D36" s="104">
        <f>VLOOKUP(2,$A$4:$AZ$32,4,FALSE)</f>
        <v>688</v>
      </c>
      <c r="E36" s="104">
        <f>VLOOKUP(2,$A$4:$AZ$32,5,FALSE)</f>
        <v>611</v>
      </c>
      <c r="F36" s="104">
        <f>VLOOKUP(2,$A$4:$AZ$32,6,FALSE)</f>
        <v>641</v>
      </c>
      <c r="G36" s="104">
        <f>VLOOKUP(2,$A$4:$AZ$32,7,FALSE)</f>
        <v>593</v>
      </c>
      <c r="H36" s="104">
        <f>VLOOKUP(2,$A$4:$AZ$32,8,FALSE)</f>
        <v>587</v>
      </c>
      <c r="I36" s="104">
        <f>VLOOKUP(2,$A$4:$AZ$32,9,FALSE)</f>
        <v>612</v>
      </c>
      <c r="J36" s="104">
        <f>VLOOKUP(2,$A$4:$AZ$32,10,FALSE)</f>
        <v>619</v>
      </c>
      <c r="K36" s="104">
        <f>VLOOKUP(2,$A$4:$AZ$32,11,FALSE)</f>
        <v>576</v>
      </c>
      <c r="L36" s="104">
        <f>VLOOKUP(2,$A$4:$AZ$32,12,FALSE)</f>
        <v>540</v>
      </c>
      <c r="M36" s="104">
        <f>VLOOKUP(2,$A$4:$AZ$32,13,FALSE)</f>
        <v>618</v>
      </c>
      <c r="N36" s="104">
        <f>VLOOKUP(2,$A$4:$AZ$32,14,FALSE)</f>
        <v>600</v>
      </c>
      <c r="O36" s="104">
        <f>VLOOKUP(2,$A$4:$AZ$32,15,FALSE)</f>
        <v>616</v>
      </c>
      <c r="P36" s="104">
        <f>VLOOKUP(2,$A$4:$AZ$32,16,FALSE)</f>
        <v>611</v>
      </c>
      <c r="Q36" s="104">
        <f>VLOOKUP(2,$A$4:$AZ$32,17,FALSE)</f>
        <v>616</v>
      </c>
      <c r="R36" s="104">
        <f>VLOOKUP(2,$A$4:$AZ$32,18,FALSE)</f>
        <v>687</v>
      </c>
      <c r="S36" s="104">
        <f>VLOOKUP(2,$A$4:$AZ$32,19,FALSE)</f>
        <v>645</v>
      </c>
      <c r="T36" s="104">
        <f>VLOOKUP(2,$A$4:$AZ$32,20,FALSE)</f>
        <v>614</v>
      </c>
      <c r="U36" s="104">
        <f>VLOOKUP(2,$A$4:$AZ$32,21,FALSE)</f>
        <v>692</v>
      </c>
      <c r="V36" s="104">
        <f>VLOOKUP(2,$A$4:$AZ$32,22,FALSE)</f>
        <v>704</v>
      </c>
      <c r="W36" s="104">
        <f>VLOOKUP(2,$A$4:$AZ$32,23,FALSE)</f>
        <v>679</v>
      </c>
      <c r="X36" s="104">
        <f>VLOOKUP(2,$A$4:$AZ$32,24,FALSE)</f>
        <v>649</v>
      </c>
      <c r="Y36" s="104">
        <f>VLOOKUP(2,$A$4:$AZ$32,25,FALSE)</f>
        <v>719</v>
      </c>
      <c r="Z36" s="104">
        <f>VLOOKUP(2,$A$4:$AZ$32,26,FALSE)</f>
        <v>629</v>
      </c>
      <c r="AA36" s="104">
        <f>VLOOKUP(2,$A$4:$AZ$32,27,FALSE)</f>
        <v>723</v>
      </c>
      <c r="AB36" s="104">
        <f>VLOOKUP(2,$A$4:$AZ$32,28,FALSE)</f>
        <v>705</v>
      </c>
      <c r="AC36" s="104">
        <f>VLOOKUP(2,$A$4:$AZ$32,29,FALSE)</f>
        <v>691</v>
      </c>
      <c r="AD36" s="104">
        <f>VLOOKUP(2,$A$4:$AZ$32,30,FALSE)</f>
        <v>696</v>
      </c>
      <c r="AE36" s="104">
        <f>VLOOKUP(2,$A$4:$AZ$32,31,FALSE)</f>
        <v>655</v>
      </c>
      <c r="AF36" s="104">
        <f>VLOOKUP(2,$A$4:$AZ$32,32,FALSE)</f>
        <v>694</v>
      </c>
      <c r="AG36" s="104">
        <f>VLOOKUP(2,$A$4:$AZ$32,33,FALSE)</f>
        <v>661</v>
      </c>
      <c r="AH36" s="104">
        <f>VLOOKUP(2,$A$4:$AZ$32,34,FALSE)</f>
        <v>659</v>
      </c>
      <c r="AI36" s="104">
        <f>VLOOKUP(2,$A$4:$AZ$32,35,FALSE)</f>
        <v>734</v>
      </c>
    </row>
    <row r="37" spans="1:35" ht="25.5">
      <c r="A37">
        <v>3</v>
      </c>
      <c r="B37" s="78" t="s">
        <v>79</v>
      </c>
      <c r="C37" s="104">
        <f>VLOOKUP(3,$A$4:$AZ$32,3,FALSE)</f>
        <v>51</v>
      </c>
      <c r="D37" s="104">
        <f>VLOOKUP(3,$A$4:$AZ$32,4,FALSE)</f>
        <v>72</v>
      </c>
      <c r="E37" s="104">
        <f>VLOOKUP(3,$A$4:$AZ$32,5,FALSE)</f>
        <v>78</v>
      </c>
      <c r="F37" s="104">
        <f>VLOOKUP(3,$A$4:$AZ$32,6,FALSE)</f>
        <v>71</v>
      </c>
      <c r="G37" s="104">
        <f>VLOOKUP(3,$A$4:$AZ$32,7,FALSE)</f>
        <v>85</v>
      </c>
      <c r="H37" s="104">
        <f>VLOOKUP(3,$A$4:$AZ$32,8,FALSE)</f>
        <v>75</v>
      </c>
      <c r="I37" s="104">
        <f>VLOOKUP(3,$A$4:$AZ$32,9,FALSE)</f>
        <v>85</v>
      </c>
      <c r="J37" s="104">
        <f>VLOOKUP(3,$A$4:$AZ$32,10,FALSE)</f>
        <v>88</v>
      </c>
      <c r="K37" s="104">
        <f>VLOOKUP(3,$A$4:$AZ$32,11,FALSE)</f>
        <v>86</v>
      </c>
      <c r="L37" s="104">
        <f>VLOOKUP(3,$A$4:$AZ$32,12,FALSE)</f>
        <v>81</v>
      </c>
      <c r="M37" s="104">
        <f>VLOOKUP(3,$A$4:$AZ$32,13,FALSE)</f>
        <v>101</v>
      </c>
      <c r="N37" s="104">
        <f>VLOOKUP(3,$A$4:$AZ$32,14,FALSE)</f>
        <v>91</v>
      </c>
      <c r="O37" s="104">
        <f>VLOOKUP(3,$A$4:$AZ$32,15,FALSE)</f>
        <v>100</v>
      </c>
      <c r="P37" s="104">
        <f>VLOOKUP(3,$A$4:$AZ$32,16,FALSE)</f>
        <v>95</v>
      </c>
      <c r="Q37" s="104">
        <f>VLOOKUP(3,$A$4:$AZ$32,17,FALSE)</f>
        <v>96</v>
      </c>
      <c r="R37" s="104">
        <f>VLOOKUP(3,$A$4:$AZ$32,18,FALSE)</f>
        <v>95</v>
      </c>
      <c r="S37" s="104">
        <f>VLOOKUP(3,$A$4:$AZ$32,19,FALSE)</f>
        <v>99</v>
      </c>
      <c r="T37" s="104">
        <f>VLOOKUP(3,$A$4:$AZ$32,20,FALSE)</f>
        <v>106</v>
      </c>
      <c r="U37" s="104">
        <f>VLOOKUP(3,$A$4:$AZ$32,21,FALSE)</f>
        <v>110</v>
      </c>
      <c r="V37" s="104">
        <f>VLOOKUP(3,$A$4:$AZ$32,22,FALSE)</f>
        <v>112</v>
      </c>
      <c r="W37" s="104">
        <f>VLOOKUP(3,$A$4:$AZ$32,23,FALSE)</f>
        <v>107</v>
      </c>
      <c r="X37" s="104">
        <f>VLOOKUP(3,$A$4:$AZ$32,24,FALSE)</f>
        <v>96</v>
      </c>
      <c r="Y37" s="104">
        <f>VLOOKUP(3,$A$4:$AZ$32,25,FALSE)</f>
        <v>100</v>
      </c>
      <c r="Z37" s="104">
        <f>VLOOKUP(3,$A$4:$AZ$32,26,FALSE)</f>
        <v>102</v>
      </c>
      <c r="AA37" s="104">
        <f>VLOOKUP(3,$A$4:$AZ$32,27,FALSE)</f>
        <v>110</v>
      </c>
      <c r="AB37" s="104">
        <f>VLOOKUP(3,$A$4:$AZ$32,28,FALSE)</f>
        <v>101</v>
      </c>
      <c r="AC37" s="104">
        <f>VLOOKUP(3,$A$4:$AZ$32,29,FALSE)</f>
        <v>102</v>
      </c>
      <c r="AD37" s="104">
        <f>VLOOKUP(3,$A$4:$AZ$32,30,FALSE)</f>
        <v>104</v>
      </c>
      <c r="AE37" s="104">
        <f>VLOOKUP(3,$A$4:$AZ$32,31,FALSE)</f>
        <v>111</v>
      </c>
      <c r="AF37" s="104">
        <f>VLOOKUP(3,$A$4:$AZ$32,32,FALSE)</f>
        <v>118</v>
      </c>
      <c r="AG37" s="104">
        <f>VLOOKUP(3,$A$4:$AZ$32,33,FALSE)</f>
        <v>107</v>
      </c>
      <c r="AH37" s="104">
        <f>VLOOKUP(3,$A$4:$AZ$32,34,FALSE)</f>
        <v>108</v>
      </c>
      <c r="AI37" s="104">
        <f>VLOOKUP(3,$A$4:$AZ$32,35,FALSE)</f>
        <v>121</v>
      </c>
    </row>
    <row r="38" spans="1:35" ht="25.5">
      <c r="A38">
        <v>4</v>
      </c>
      <c r="B38" s="78" t="s">
        <v>80</v>
      </c>
      <c r="C38" s="104">
        <f>VLOOKUP(4,$A$4:$AZ$32,3,FALSE)</f>
        <v>0</v>
      </c>
      <c r="D38" s="104">
        <f>VLOOKUP(4,$A$4:$AZ$32,4,FALSE)</f>
        <v>0</v>
      </c>
      <c r="E38" s="104">
        <f>VLOOKUP(4,$A$4:$AZ$32,5,FALSE)</f>
        <v>0</v>
      </c>
      <c r="F38" s="104">
        <f>VLOOKUP(4,$A$4:$AZ$32,6,FALSE)</f>
        <v>0</v>
      </c>
      <c r="G38" s="104">
        <f>VLOOKUP(4,$A$4:$AZ$32,7,FALSE)</f>
        <v>0</v>
      </c>
      <c r="H38" s="104">
        <f>VLOOKUP(4,$A$4:$AZ$32,8,FALSE)</f>
        <v>0</v>
      </c>
      <c r="I38" s="104">
        <f>VLOOKUP(4,$A$4:$AZ$32,9,FALSE)</f>
        <v>0</v>
      </c>
      <c r="J38" s="104">
        <f>VLOOKUP(4,$A$4:$AZ$32,10,FALSE)</f>
        <v>0</v>
      </c>
      <c r="K38" s="104">
        <f>VLOOKUP(4,$A$4:$AZ$32,11,FALSE)</f>
        <v>0</v>
      </c>
      <c r="L38" s="104">
        <f>VLOOKUP(4,$A$4:$AZ$32,12,FALSE)</f>
        <v>0</v>
      </c>
      <c r="M38" s="104">
        <f>VLOOKUP(4,$A$4:$AZ$32,13,FALSE)</f>
        <v>0</v>
      </c>
      <c r="N38" s="104">
        <f>VLOOKUP(4,$A$4:$AZ$32,14,FALSE)</f>
        <v>0</v>
      </c>
      <c r="O38" s="104">
        <f>VLOOKUP(4,$A$4:$AZ$32,15,FALSE)</f>
        <v>0</v>
      </c>
      <c r="P38" s="104">
        <f>VLOOKUP(4,$A$4:$AZ$32,16,FALSE)</f>
        <v>0</v>
      </c>
      <c r="Q38" s="104">
        <f>VLOOKUP(4,$A$4:$AZ$32,17,FALSE)</f>
        <v>0</v>
      </c>
      <c r="R38" s="104">
        <f>VLOOKUP(4,$A$4:$AZ$32,18,FALSE)</f>
        <v>0</v>
      </c>
      <c r="S38" s="104">
        <f>VLOOKUP(4,$A$4:$AZ$32,19,FALSE)</f>
        <v>0</v>
      </c>
      <c r="T38" s="104">
        <f>VLOOKUP(4,$A$4:$AZ$32,20,FALSE)</f>
        <v>0</v>
      </c>
      <c r="U38" s="104">
        <f>VLOOKUP(4,$A$4:$AZ$32,21,FALSE)</f>
        <v>0</v>
      </c>
      <c r="V38" s="104">
        <f>VLOOKUP(4,$A$4:$AZ$32,22,FALSE)</f>
        <v>0</v>
      </c>
      <c r="W38" s="104">
        <f>VLOOKUP(4,$A$4:$AZ$32,23,FALSE)</f>
        <v>0</v>
      </c>
      <c r="X38" s="104">
        <f>VLOOKUP(4,$A$4:$AZ$32,24,FALSE)</f>
        <v>0</v>
      </c>
      <c r="Y38" s="104">
        <f>VLOOKUP(4,$A$4:$AZ$32,25,FALSE)</f>
        <v>0</v>
      </c>
      <c r="Z38" s="104">
        <f>VLOOKUP(4,$A$4:$AZ$32,26,FALSE)</f>
        <v>0</v>
      </c>
      <c r="AA38" s="104">
        <f>VLOOKUP(4,$A$4:$AZ$32,27,FALSE)</f>
        <v>0</v>
      </c>
      <c r="AB38" s="104">
        <f>VLOOKUP(4,$A$4:$AZ$32,28,FALSE)</f>
        <v>0</v>
      </c>
      <c r="AC38" s="104">
        <f>VLOOKUP(4,$A$4:$AZ$32,29,FALSE)</f>
        <v>0</v>
      </c>
      <c r="AD38" s="104">
        <f>VLOOKUP(4,$A$4:$AZ$32,30,FALSE)</f>
        <v>0</v>
      </c>
      <c r="AE38" s="104">
        <f>VLOOKUP(4,$A$4:$AZ$32,31,FALSE)</f>
        <v>0</v>
      </c>
      <c r="AF38" s="104">
        <f>VLOOKUP(4,$A$4:$AZ$32,32,FALSE)</f>
        <v>1</v>
      </c>
      <c r="AG38" s="104">
        <f>VLOOKUP(4,$A$4:$AZ$32,33,FALSE)</f>
        <v>0</v>
      </c>
      <c r="AH38" s="104">
        <f>VLOOKUP(4,$A$4:$AZ$32,34,FALSE)</f>
        <v>0</v>
      </c>
      <c r="AI38" s="104">
        <f>VLOOKUP(4,$A$4:$AZ$32,35,FALSE)</f>
        <v>1</v>
      </c>
    </row>
    <row r="39" spans="1:35" ht="25.5">
      <c r="A39">
        <v>5</v>
      </c>
      <c r="B39" s="78" t="s">
        <v>81</v>
      </c>
      <c r="C39" s="104">
        <f>VLOOKUP(5,$A$4:$AZ$32,3,FALSE)</f>
        <v>958</v>
      </c>
      <c r="D39" s="104">
        <f>VLOOKUP(5,$A$4:$AZ$32,4,FALSE)</f>
        <v>1129</v>
      </c>
      <c r="E39" s="104">
        <f>VLOOKUP(5,$A$4:$AZ$32,5,FALSE)</f>
        <v>1051</v>
      </c>
      <c r="F39" s="104">
        <f>VLOOKUP(5,$A$4:$AZ$32,6,FALSE)</f>
        <v>1092</v>
      </c>
      <c r="G39" s="104">
        <f>VLOOKUP(5,$A$4:$AZ$32,7,FALSE)</f>
        <v>1043</v>
      </c>
      <c r="H39" s="104">
        <f>VLOOKUP(5,$A$4:$AZ$32,8,FALSE)</f>
        <v>1037</v>
      </c>
      <c r="I39" s="104">
        <f>VLOOKUP(5,$A$4:$AZ$32,9,FALSE)</f>
        <v>1078</v>
      </c>
      <c r="J39" s="104">
        <f>VLOOKUP(5,$A$4:$AZ$32,10,FALSE)</f>
        <v>1111</v>
      </c>
      <c r="K39" s="104">
        <f>VLOOKUP(5,$A$4:$AZ$32,11,FALSE)</f>
        <v>1095</v>
      </c>
      <c r="L39" s="104">
        <f>VLOOKUP(5,$A$4:$AZ$32,12,FALSE)</f>
        <v>939</v>
      </c>
      <c r="M39" s="104">
        <f>VLOOKUP(5,$A$4:$AZ$32,13,FALSE)</f>
        <v>1173</v>
      </c>
      <c r="N39" s="104">
        <f>VLOOKUP(5,$A$4:$AZ$32,14,FALSE)</f>
        <v>1035</v>
      </c>
      <c r="O39" s="104">
        <f>VLOOKUP(5,$A$4:$AZ$32,15,FALSE)</f>
        <v>1086</v>
      </c>
      <c r="P39" s="104">
        <f>VLOOKUP(5,$A$4:$AZ$32,16,FALSE)</f>
        <v>1065</v>
      </c>
      <c r="Q39" s="104">
        <f>VLOOKUP(5,$A$4:$AZ$32,17,FALSE)</f>
        <v>984</v>
      </c>
      <c r="R39" s="104">
        <f>VLOOKUP(5,$A$4:$AZ$32,18,FALSE)</f>
        <v>1010</v>
      </c>
      <c r="S39" s="104">
        <f>VLOOKUP(5,$A$4:$AZ$32,19,FALSE)</f>
        <v>987</v>
      </c>
      <c r="T39" s="104">
        <f>VLOOKUP(5,$A$4:$AZ$32,20,FALSE)</f>
        <v>942</v>
      </c>
      <c r="U39" s="104">
        <f>VLOOKUP(5,$A$4:$AZ$32,21,FALSE)</f>
        <v>977</v>
      </c>
      <c r="V39" s="104">
        <f>VLOOKUP(5,$A$4:$AZ$32,22,FALSE)</f>
        <v>1008</v>
      </c>
      <c r="W39" s="104">
        <f>VLOOKUP(5,$A$4:$AZ$32,23,FALSE)</f>
        <v>955</v>
      </c>
      <c r="X39" s="104">
        <f>VLOOKUP(5,$A$4:$AZ$32,24,FALSE)</f>
        <v>911</v>
      </c>
      <c r="Y39" s="104">
        <f>VLOOKUP(5,$A$4:$AZ$32,25,FALSE)</f>
        <v>989</v>
      </c>
      <c r="Z39" s="104">
        <f>VLOOKUP(5,$A$4:$AZ$32,26,FALSE)</f>
        <v>859</v>
      </c>
      <c r="AA39" s="104">
        <f>VLOOKUP(5,$A$4:$AZ$32,27,FALSE)</f>
        <v>984</v>
      </c>
      <c r="AB39" s="104">
        <f>VLOOKUP(5,$A$4:$AZ$32,28,FALSE)</f>
        <v>903</v>
      </c>
      <c r="AC39" s="104">
        <f>VLOOKUP(5,$A$4:$AZ$32,29,FALSE)</f>
        <v>825</v>
      </c>
      <c r="AD39" s="104">
        <f>VLOOKUP(5,$A$4:$AZ$32,30,FALSE)</f>
        <v>915</v>
      </c>
      <c r="AE39" s="104">
        <f>VLOOKUP(5,$A$4:$AZ$32,31,FALSE)</f>
        <v>840</v>
      </c>
      <c r="AF39" s="104">
        <f>VLOOKUP(5,$A$4:$AZ$32,32,FALSE)</f>
        <v>944</v>
      </c>
      <c r="AG39" s="104">
        <f>VLOOKUP(5,$A$4:$AZ$32,33,FALSE)</f>
        <v>876</v>
      </c>
      <c r="AH39" s="104">
        <f>VLOOKUP(5,$A$4:$AZ$32,34,FALSE)</f>
        <v>825</v>
      </c>
      <c r="AI39" s="104">
        <f>VLOOKUP(5,$A$4:$AZ$32,35,FALSE)</f>
        <v>990</v>
      </c>
    </row>
    <row r="40" spans="1:35" ht="25.5">
      <c r="A40">
        <v>6</v>
      </c>
      <c r="B40" s="78" t="s">
        <v>82</v>
      </c>
      <c r="C40" s="104">
        <f>VLOOKUP(6,$A$4:$AZ$32,3,FALSE)</f>
        <v>313</v>
      </c>
      <c r="D40" s="104">
        <f>VLOOKUP(6,$A$4:$AZ$32,4,FALSE)</f>
        <v>389</v>
      </c>
      <c r="E40" s="104">
        <f>VLOOKUP(6,$A$4:$AZ$32,5,FALSE)</f>
        <v>403</v>
      </c>
      <c r="F40" s="104">
        <f>VLOOKUP(6,$A$4:$AZ$32,6,FALSE)</f>
        <v>365</v>
      </c>
      <c r="G40" s="104">
        <f>VLOOKUP(6,$A$4:$AZ$32,7,FALSE)</f>
        <v>369</v>
      </c>
      <c r="H40" s="104">
        <f>VLOOKUP(6,$A$4:$AZ$32,8,FALSE)</f>
        <v>382</v>
      </c>
      <c r="I40" s="104">
        <f>VLOOKUP(6,$A$4:$AZ$32,9,FALSE)</f>
        <v>431</v>
      </c>
      <c r="J40" s="104">
        <f>VLOOKUP(6,$A$4:$AZ$32,10,FALSE)</f>
        <v>419</v>
      </c>
      <c r="K40" s="104">
        <f>VLOOKUP(6,$A$4:$AZ$32,11,FALSE)</f>
        <v>382</v>
      </c>
      <c r="L40" s="104">
        <f>VLOOKUP(6,$A$4:$AZ$32,12,FALSE)</f>
        <v>338</v>
      </c>
      <c r="M40" s="104">
        <f>VLOOKUP(6,$A$4:$AZ$32,13,FALSE)</f>
        <v>432</v>
      </c>
      <c r="N40" s="104">
        <f>VLOOKUP(6,$A$4:$AZ$32,14,FALSE)</f>
        <v>405</v>
      </c>
      <c r="O40" s="104">
        <f>VLOOKUP(6,$A$4:$AZ$32,15,FALSE)</f>
        <v>426</v>
      </c>
      <c r="P40" s="104">
        <f>VLOOKUP(6,$A$4:$AZ$32,16,FALSE)</f>
        <v>433</v>
      </c>
      <c r="Q40" s="104">
        <f>VLOOKUP(6,$A$4:$AZ$32,17,FALSE)</f>
        <v>396</v>
      </c>
      <c r="R40" s="104">
        <f>VLOOKUP(6,$A$4:$AZ$32,18,FALSE)</f>
        <v>440</v>
      </c>
      <c r="S40" s="104">
        <f>VLOOKUP(6,$A$4:$AZ$32,19,FALSE)</f>
        <v>388</v>
      </c>
      <c r="T40" s="104">
        <f>VLOOKUP(6,$A$4:$AZ$32,20,FALSE)</f>
        <v>376</v>
      </c>
      <c r="U40" s="104">
        <f>VLOOKUP(6,$A$4:$AZ$32,21,FALSE)</f>
        <v>404</v>
      </c>
      <c r="V40" s="104">
        <f>VLOOKUP(6,$A$4:$AZ$32,22,FALSE)</f>
        <v>410</v>
      </c>
      <c r="W40" s="104">
        <f>VLOOKUP(6,$A$4:$AZ$32,23,FALSE)</f>
        <v>386</v>
      </c>
      <c r="X40" s="104">
        <f>VLOOKUP(6,$A$4:$AZ$32,24,FALSE)</f>
        <v>363</v>
      </c>
      <c r="Y40" s="104">
        <f>VLOOKUP(6,$A$4:$AZ$32,25,FALSE)</f>
        <v>399</v>
      </c>
      <c r="Z40" s="104">
        <f>VLOOKUP(6,$A$4:$AZ$32,26,FALSE)</f>
        <v>325</v>
      </c>
      <c r="AA40" s="104">
        <f>VLOOKUP(6,$A$4:$AZ$32,27,FALSE)</f>
        <v>419</v>
      </c>
      <c r="AB40" s="104">
        <f>VLOOKUP(6,$A$4:$AZ$32,28,FALSE)</f>
        <v>376</v>
      </c>
      <c r="AC40" s="104">
        <f>VLOOKUP(6,$A$4:$AZ$32,29,FALSE)</f>
        <v>378</v>
      </c>
      <c r="AD40" s="104">
        <f>VLOOKUP(6,$A$4:$AZ$32,30,FALSE)</f>
        <v>377</v>
      </c>
      <c r="AE40" s="104">
        <f>VLOOKUP(6,$A$4:$AZ$32,31,FALSE)</f>
        <v>363</v>
      </c>
      <c r="AF40" s="104">
        <f>VLOOKUP(6,$A$4:$AZ$32,32,FALSE)</f>
        <v>382</v>
      </c>
      <c r="AG40" s="104">
        <f>VLOOKUP(6,$A$4:$AZ$32,33,FALSE)</f>
        <v>360</v>
      </c>
      <c r="AH40" s="104">
        <f>VLOOKUP(6,$A$4:$AZ$32,34,FALSE)</f>
        <v>346</v>
      </c>
      <c r="AI40" s="104">
        <f>VLOOKUP(6,$A$4:$AZ$32,35,FALSE)</f>
        <v>416</v>
      </c>
    </row>
    <row r="41" spans="1:35" ht="12.75">
      <c r="A41">
        <v>7</v>
      </c>
      <c r="B41" s="78" t="s">
        <v>83</v>
      </c>
      <c r="C41" s="104">
        <f>VLOOKUP(7,$A$4:$AZ$32,3,FALSE)</f>
        <v>0</v>
      </c>
      <c r="D41" s="104">
        <f>VLOOKUP(7,$A$4:$AZ$32,4,FALSE)</f>
        <v>0</v>
      </c>
      <c r="E41" s="104">
        <f>VLOOKUP(7,$A$4:$AZ$32,5,FALSE)</f>
        <v>0</v>
      </c>
      <c r="F41" s="104">
        <f>VLOOKUP(7,$A$4:$AZ$32,6,FALSE)</f>
        <v>0</v>
      </c>
      <c r="G41" s="104">
        <f>VLOOKUP(7,$A$4:$AZ$32,7,FALSE)</f>
        <v>0</v>
      </c>
      <c r="H41" s="104">
        <f>VLOOKUP(7,$A$4:$AZ$32,8,FALSE)</f>
        <v>0</v>
      </c>
      <c r="I41" s="104">
        <f>VLOOKUP(7,$A$4:$AZ$32,9,FALSE)</f>
        <v>0</v>
      </c>
      <c r="J41" s="104">
        <f>VLOOKUP(7,$A$4:$AZ$32,10,FALSE)</f>
        <v>0</v>
      </c>
      <c r="K41" s="104">
        <f>VLOOKUP(7,$A$4:$AZ$32,11,FALSE)</f>
        <v>0</v>
      </c>
      <c r="L41" s="104">
        <f>VLOOKUP(7,$A$4:$AZ$32,12,FALSE)</f>
        <v>0</v>
      </c>
      <c r="M41" s="104">
        <f>VLOOKUP(7,$A$4:$AZ$32,13,FALSE)</f>
        <v>0</v>
      </c>
      <c r="N41" s="104">
        <f>VLOOKUP(7,$A$4:$AZ$32,14,FALSE)</f>
        <v>0</v>
      </c>
      <c r="O41" s="104">
        <f>VLOOKUP(7,$A$4:$AZ$32,15,FALSE)</f>
        <v>0</v>
      </c>
      <c r="P41" s="104">
        <f>VLOOKUP(7,$A$4:$AZ$32,16,FALSE)</f>
        <v>0</v>
      </c>
      <c r="Q41" s="104">
        <f>VLOOKUP(7,$A$4:$AZ$32,17,FALSE)</f>
        <v>0</v>
      </c>
      <c r="R41" s="104">
        <f>VLOOKUP(7,$A$4:$AZ$32,18,FALSE)</f>
        <v>0</v>
      </c>
      <c r="S41" s="104">
        <f>VLOOKUP(7,$A$4:$AZ$32,19,FALSE)</f>
        <v>0</v>
      </c>
      <c r="T41" s="104">
        <f>VLOOKUP(7,$A$4:$AZ$32,20,FALSE)</f>
        <v>0</v>
      </c>
      <c r="U41" s="104">
        <f>VLOOKUP(7,$A$4:$AZ$32,21,FALSE)</f>
        <v>0</v>
      </c>
      <c r="V41" s="104">
        <f>VLOOKUP(7,$A$4:$AZ$32,22,FALSE)</f>
        <v>0</v>
      </c>
      <c r="W41" s="104">
        <f>VLOOKUP(7,$A$4:$AZ$32,23,FALSE)</f>
        <v>0</v>
      </c>
      <c r="X41" s="104">
        <f>VLOOKUP(7,$A$4:$AZ$32,24,FALSE)</f>
        <v>0</v>
      </c>
      <c r="Y41" s="104">
        <f>VLOOKUP(7,$A$4:$AZ$32,25,FALSE)</f>
        <v>0</v>
      </c>
      <c r="Z41" s="104">
        <f>VLOOKUP(7,$A$4:$AZ$32,26,FALSE)</f>
        <v>0</v>
      </c>
      <c r="AA41" s="104">
        <f>VLOOKUP(7,$A$4:$AZ$32,27,FALSE)</f>
        <v>0</v>
      </c>
      <c r="AB41" s="104">
        <f>VLOOKUP(7,$A$4:$AZ$32,28,FALSE)</f>
        <v>5</v>
      </c>
      <c r="AC41" s="104">
        <f>VLOOKUP(7,$A$4:$AZ$32,29,FALSE)</f>
        <v>7</v>
      </c>
      <c r="AD41" s="104">
        <f>VLOOKUP(7,$A$4:$AZ$32,30,FALSE)</f>
        <v>13</v>
      </c>
      <c r="AE41" s="104">
        <f>VLOOKUP(7,$A$4:$AZ$32,31,FALSE)</f>
        <v>13</v>
      </c>
      <c r="AF41" s="104">
        <f>VLOOKUP(7,$A$4:$AZ$32,32,FALSE)</f>
        <v>29</v>
      </c>
      <c r="AG41" s="104">
        <f>VLOOKUP(7,$A$4:$AZ$32,33,FALSE)</f>
        <v>25</v>
      </c>
      <c r="AH41" s="104">
        <f>VLOOKUP(7,$A$4:$AZ$32,34,FALSE)</f>
        <v>36</v>
      </c>
      <c r="AI41" s="104">
        <f>VLOOKUP(7,$A$4:$AZ$32,35,FALSE)</f>
        <v>46</v>
      </c>
    </row>
    <row r="42" spans="1:35" ht="25.5">
      <c r="A42">
        <v>8</v>
      </c>
      <c r="B42" s="78" t="s">
        <v>84</v>
      </c>
      <c r="C42" s="104">
        <f>VLOOKUP(8,$A$4:$AZ$32,3,FALSE)</f>
        <v>50</v>
      </c>
      <c r="D42" s="104">
        <f>VLOOKUP(8,$A$4:$AZ$32,4,FALSE)</f>
        <v>56</v>
      </c>
      <c r="E42" s="104">
        <f>VLOOKUP(8,$A$4:$AZ$32,5,FALSE)</f>
        <v>47</v>
      </c>
      <c r="F42" s="104">
        <f>VLOOKUP(8,$A$4:$AZ$32,6,FALSE)</f>
        <v>58</v>
      </c>
      <c r="G42" s="104">
        <f>VLOOKUP(8,$A$4:$AZ$32,7,FALSE)</f>
        <v>49</v>
      </c>
      <c r="H42" s="104">
        <f>VLOOKUP(8,$A$4:$AZ$32,8,FALSE)</f>
        <v>49</v>
      </c>
      <c r="I42" s="104">
        <f>VLOOKUP(8,$A$4:$AZ$32,9,FALSE)</f>
        <v>50</v>
      </c>
      <c r="J42" s="104">
        <f>VLOOKUP(8,$A$4:$AZ$32,10,FALSE)</f>
        <v>56</v>
      </c>
      <c r="K42" s="104">
        <f>VLOOKUP(8,$A$4:$AZ$32,11,FALSE)</f>
        <v>49</v>
      </c>
      <c r="L42" s="104">
        <f>VLOOKUP(8,$A$4:$AZ$32,12,FALSE)</f>
        <v>55</v>
      </c>
      <c r="M42" s="104">
        <f>VLOOKUP(8,$A$4:$AZ$32,13,FALSE)</f>
        <v>50</v>
      </c>
      <c r="N42" s="104">
        <f>VLOOKUP(8,$A$4:$AZ$32,14,FALSE)</f>
        <v>47</v>
      </c>
      <c r="O42" s="104">
        <f>VLOOKUP(8,$A$4:$AZ$32,15,FALSE)</f>
        <v>58</v>
      </c>
      <c r="P42" s="104">
        <f>VLOOKUP(8,$A$4:$AZ$32,16,FALSE)</f>
        <v>64</v>
      </c>
      <c r="Q42" s="104">
        <f>VLOOKUP(8,$A$4:$AZ$32,17,FALSE)</f>
        <v>44</v>
      </c>
      <c r="R42" s="104">
        <f>VLOOKUP(8,$A$4:$AZ$32,18,FALSE)</f>
        <v>62</v>
      </c>
      <c r="S42" s="104">
        <f>VLOOKUP(8,$A$4:$AZ$32,19,FALSE)</f>
        <v>59</v>
      </c>
      <c r="T42" s="104">
        <f>VLOOKUP(8,$A$4:$AZ$32,20,FALSE)</f>
        <v>57</v>
      </c>
      <c r="U42" s="104">
        <f>VLOOKUP(8,$A$4:$AZ$32,21,FALSE)</f>
        <v>57</v>
      </c>
      <c r="V42" s="104">
        <f>VLOOKUP(8,$A$4:$AZ$32,22,FALSE)</f>
        <v>68</v>
      </c>
      <c r="W42" s="104">
        <f>VLOOKUP(8,$A$4:$AZ$32,23,FALSE)</f>
        <v>68</v>
      </c>
      <c r="X42" s="104">
        <f>VLOOKUP(8,$A$4:$AZ$32,24,FALSE)</f>
        <v>66</v>
      </c>
      <c r="Y42" s="104">
        <f>VLOOKUP(8,$A$4:$AZ$32,25,FALSE)</f>
        <v>71</v>
      </c>
      <c r="Z42" s="104">
        <f>VLOOKUP(8,$A$4:$AZ$32,26,FALSE)</f>
        <v>49</v>
      </c>
      <c r="AA42" s="104">
        <f>VLOOKUP(8,$A$4:$AZ$32,27,FALSE)</f>
        <v>75</v>
      </c>
      <c r="AB42" s="104">
        <f>VLOOKUP(8,$A$4:$AZ$32,28,FALSE)</f>
        <v>63</v>
      </c>
      <c r="AC42" s="104">
        <f>VLOOKUP(8,$A$4:$AZ$32,29,FALSE)</f>
        <v>57</v>
      </c>
      <c r="AD42" s="104">
        <f>VLOOKUP(8,$A$4:$AZ$32,30,FALSE)</f>
        <v>61</v>
      </c>
      <c r="AE42" s="104">
        <f>VLOOKUP(8,$A$4:$AZ$32,31,FALSE)</f>
        <v>64</v>
      </c>
      <c r="AF42" s="104">
        <f>VLOOKUP(8,$A$4:$AZ$32,32,FALSE)</f>
        <v>66</v>
      </c>
      <c r="AG42" s="104">
        <f>VLOOKUP(8,$A$4:$AZ$32,33,FALSE)</f>
        <v>59</v>
      </c>
      <c r="AH42" s="104">
        <f>VLOOKUP(8,$A$4:$AZ$32,34,FALSE)</f>
        <v>59</v>
      </c>
      <c r="AI42" s="104">
        <f>VLOOKUP(8,$A$4:$AZ$32,35,FALSE)</f>
        <v>53</v>
      </c>
    </row>
    <row r="43" spans="1:35" ht="25.5">
      <c r="A43">
        <v>9</v>
      </c>
      <c r="B43" s="78" t="s">
        <v>85</v>
      </c>
      <c r="C43" s="104">
        <f>VLOOKUP(9,$A$4:$AZ$32,3,FALSE)</f>
        <v>115</v>
      </c>
      <c r="D43" s="104">
        <f>VLOOKUP(9,$A$4:$AZ$32,4,FALSE)</f>
        <v>136</v>
      </c>
      <c r="E43" s="104">
        <f>VLOOKUP(9,$A$4:$AZ$32,5,FALSE)</f>
        <v>134</v>
      </c>
      <c r="F43" s="104">
        <f>VLOOKUP(9,$A$4:$AZ$32,6,FALSE)</f>
        <v>123</v>
      </c>
      <c r="G43" s="104">
        <f>VLOOKUP(9,$A$4:$AZ$32,7,FALSE)</f>
        <v>110</v>
      </c>
      <c r="H43" s="104">
        <f>VLOOKUP(9,$A$4:$AZ$32,8,FALSE)</f>
        <v>120</v>
      </c>
      <c r="I43" s="104">
        <f>VLOOKUP(9,$A$4:$AZ$32,9,FALSE)</f>
        <v>122</v>
      </c>
      <c r="J43" s="104">
        <f>VLOOKUP(9,$A$4:$AZ$32,10,FALSE)</f>
        <v>113</v>
      </c>
      <c r="K43" s="104">
        <f>VLOOKUP(9,$A$4:$AZ$32,11,FALSE)</f>
        <v>126</v>
      </c>
      <c r="L43" s="104">
        <f>VLOOKUP(9,$A$4:$AZ$32,12,FALSE)</f>
        <v>112</v>
      </c>
      <c r="M43" s="104">
        <f>VLOOKUP(9,$A$4:$AZ$32,13,FALSE)</f>
        <v>123</v>
      </c>
      <c r="N43" s="104">
        <f>VLOOKUP(9,$A$4:$AZ$32,14,FALSE)</f>
        <v>142</v>
      </c>
      <c r="O43" s="104">
        <f>VLOOKUP(9,$A$4:$AZ$32,15,FALSE)</f>
        <v>124</v>
      </c>
      <c r="P43" s="104">
        <f>VLOOKUP(9,$A$4:$AZ$32,16,FALSE)</f>
        <v>120</v>
      </c>
      <c r="Q43" s="104">
        <f>VLOOKUP(9,$A$4:$AZ$32,17,FALSE)</f>
        <v>127</v>
      </c>
      <c r="R43" s="104">
        <f>VLOOKUP(9,$A$4:$AZ$32,18,FALSE)</f>
        <v>134</v>
      </c>
      <c r="S43" s="104">
        <f>VLOOKUP(9,$A$4:$AZ$32,19,FALSE)</f>
        <v>103</v>
      </c>
      <c r="T43" s="104">
        <f>VLOOKUP(9,$A$4:$AZ$32,20,FALSE)</f>
        <v>115</v>
      </c>
      <c r="U43" s="104">
        <f>VLOOKUP(9,$A$4:$AZ$32,21,FALSE)</f>
        <v>121</v>
      </c>
      <c r="V43" s="104">
        <f>VLOOKUP(9,$A$4:$AZ$32,22,FALSE)</f>
        <v>116</v>
      </c>
      <c r="W43" s="104">
        <f>VLOOKUP(9,$A$4:$AZ$32,23,FALSE)</f>
        <v>121</v>
      </c>
      <c r="X43" s="104">
        <f>VLOOKUP(9,$A$4:$AZ$32,24,FALSE)</f>
        <v>87</v>
      </c>
      <c r="Y43" s="104">
        <f>VLOOKUP(9,$A$4:$AZ$32,25,FALSE)</f>
        <v>113</v>
      </c>
      <c r="Z43" s="104">
        <f>VLOOKUP(9,$A$4:$AZ$32,26,FALSE)</f>
        <v>101</v>
      </c>
      <c r="AA43" s="104">
        <f>VLOOKUP(9,$A$4:$AZ$32,27,FALSE)</f>
        <v>112</v>
      </c>
      <c r="AB43" s="104">
        <f>VLOOKUP(9,$A$4:$AZ$32,28,FALSE)</f>
        <v>112</v>
      </c>
      <c r="AC43" s="104">
        <f>VLOOKUP(9,$A$4:$AZ$32,29,FALSE)</f>
        <v>104</v>
      </c>
      <c r="AD43" s="104">
        <f>VLOOKUP(9,$A$4:$AZ$32,30,FALSE)</f>
        <v>99</v>
      </c>
      <c r="AE43" s="104">
        <f>VLOOKUP(9,$A$4:$AZ$32,31,FALSE)</f>
        <v>104</v>
      </c>
      <c r="AF43" s="104">
        <f>VLOOKUP(9,$A$4:$AZ$32,32,FALSE)</f>
        <v>112</v>
      </c>
      <c r="AG43" s="104">
        <f>VLOOKUP(9,$A$4:$AZ$32,33,FALSE)</f>
        <v>104</v>
      </c>
      <c r="AH43" s="104">
        <f>VLOOKUP(9,$A$4:$AZ$32,34,FALSE)</f>
        <v>95</v>
      </c>
      <c r="AI43" s="104">
        <f>VLOOKUP(9,$A$4:$AZ$32,35,FALSE)</f>
        <v>109</v>
      </c>
    </row>
    <row r="44" spans="1:35" ht="25.5">
      <c r="A44">
        <v>10</v>
      </c>
      <c r="B44" s="78" t="s">
        <v>86</v>
      </c>
      <c r="C44" s="104">
        <f>VLOOKUP(10,$A$4:$AZ$32,3,FALSE)</f>
        <v>64</v>
      </c>
      <c r="D44" s="104">
        <f>VLOOKUP(10,$A$4:$AZ$32,4,FALSE)</f>
        <v>77</v>
      </c>
      <c r="E44" s="104">
        <f>VLOOKUP(10,$A$4:$AZ$32,5,FALSE)</f>
        <v>70</v>
      </c>
      <c r="F44" s="104">
        <f>VLOOKUP(10,$A$4:$AZ$32,6,FALSE)</f>
        <v>70</v>
      </c>
      <c r="G44" s="104">
        <f>VLOOKUP(10,$A$4:$AZ$32,7,FALSE)</f>
        <v>70</v>
      </c>
      <c r="H44" s="104">
        <f>VLOOKUP(10,$A$4:$AZ$32,8,FALSE)</f>
        <v>67</v>
      </c>
      <c r="I44" s="104">
        <f>VLOOKUP(10,$A$4:$AZ$32,9,FALSE)</f>
        <v>71</v>
      </c>
      <c r="J44" s="104">
        <f>VLOOKUP(10,$A$4:$AZ$32,10,FALSE)</f>
        <v>78</v>
      </c>
      <c r="K44" s="104">
        <f>VLOOKUP(10,$A$4:$AZ$32,11,FALSE)</f>
        <v>74</v>
      </c>
      <c r="L44" s="104">
        <f>VLOOKUP(10,$A$4:$AZ$32,12,FALSE)</f>
        <v>79</v>
      </c>
      <c r="M44" s="104">
        <f>VLOOKUP(10,$A$4:$AZ$32,13,FALSE)</f>
        <v>80</v>
      </c>
      <c r="N44" s="104">
        <f>VLOOKUP(10,$A$4:$AZ$32,14,FALSE)</f>
        <v>76</v>
      </c>
      <c r="O44" s="104">
        <f>VLOOKUP(10,$A$4:$AZ$32,15,FALSE)</f>
        <v>80</v>
      </c>
      <c r="P44" s="104">
        <f>VLOOKUP(10,$A$4:$AZ$32,16,FALSE)</f>
        <v>75</v>
      </c>
      <c r="Q44" s="104">
        <f>VLOOKUP(10,$A$4:$AZ$32,17,FALSE)</f>
        <v>71</v>
      </c>
      <c r="R44" s="104">
        <f>VLOOKUP(10,$A$4:$AZ$32,18,FALSE)</f>
        <v>76</v>
      </c>
      <c r="S44" s="104">
        <f>VLOOKUP(10,$A$4:$AZ$32,19,FALSE)</f>
        <v>78</v>
      </c>
      <c r="T44" s="104">
        <f>VLOOKUP(10,$A$4:$AZ$32,20,FALSE)</f>
        <v>75</v>
      </c>
      <c r="U44" s="104">
        <f>VLOOKUP(10,$A$4:$AZ$32,21,FALSE)</f>
        <v>72</v>
      </c>
      <c r="V44" s="104">
        <f>VLOOKUP(10,$A$4:$AZ$32,22,FALSE)</f>
        <v>74</v>
      </c>
      <c r="W44" s="104">
        <f>VLOOKUP(10,$A$4:$AZ$32,23,FALSE)</f>
        <v>76</v>
      </c>
      <c r="X44" s="104">
        <f>VLOOKUP(10,$A$4:$AZ$32,24,FALSE)</f>
        <v>68</v>
      </c>
      <c r="Y44" s="104">
        <f>VLOOKUP(10,$A$4:$AZ$32,25,FALSE)</f>
        <v>77</v>
      </c>
      <c r="Z44" s="104">
        <f>VLOOKUP(10,$A$4:$AZ$32,26,FALSE)</f>
        <v>56</v>
      </c>
      <c r="AA44" s="104">
        <f>VLOOKUP(10,$A$4:$AZ$32,27,FALSE)</f>
        <v>76</v>
      </c>
      <c r="AB44" s="104">
        <f>VLOOKUP(10,$A$4:$AZ$32,28,FALSE)</f>
        <v>73</v>
      </c>
      <c r="AC44" s="104">
        <f>VLOOKUP(10,$A$4:$AZ$32,29,FALSE)</f>
        <v>64</v>
      </c>
      <c r="AD44" s="104">
        <f>VLOOKUP(10,$A$4:$AZ$32,30,FALSE)</f>
        <v>81</v>
      </c>
      <c r="AE44" s="104">
        <f>VLOOKUP(10,$A$4:$AZ$32,31,FALSE)</f>
        <v>67</v>
      </c>
      <c r="AF44" s="104">
        <f>VLOOKUP(10,$A$4:$AZ$32,32,FALSE)</f>
        <v>63</v>
      </c>
      <c r="AG44" s="104">
        <f>VLOOKUP(10,$A$4:$AZ$32,33,FALSE)</f>
        <v>73</v>
      </c>
      <c r="AH44" s="104">
        <f>VLOOKUP(10,$A$4:$AZ$32,34,FALSE)</f>
        <v>67</v>
      </c>
      <c r="AI44" s="104">
        <f>VLOOKUP(10,$A$4:$AZ$32,35,FALSE)</f>
        <v>78</v>
      </c>
    </row>
    <row r="45" spans="1:35" ht="12.75">
      <c r="A45">
        <v>11</v>
      </c>
      <c r="B45" s="78" t="s">
        <v>87</v>
      </c>
      <c r="C45" s="104">
        <f>VLOOKUP(11,$A$4:$AZ$32,3,FALSE)</f>
        <v>462</v>
      </c>
      <c r="D45" s="104">
        <f>VLOOKUP(11,$A$4:$AZ$32,4,FALSE)</f>
        <v>583</v>
      </c>
      <c r="E45" s="104">
        <f>VLOOKUP(11,$A$4:$AZ$32,5,FALSE)</f>
        <v>538</v>
      </c>
      <c r="F45" s="104">
        <f>VLOOKUP(11,$A$4:$AZ$32,6,FALSE)</f>
        <v>539</v>
      </c>
      <c r="G45" s="104">
        <f>VLOOKUP(11,$A$4:$AZ$32,7,FALSE)</f>
        <v>535</v>
      </c>
      <c r="H45" s="104">
        <f>VLOOKUP(11,$A$4:$AZ$32,8,FALSE)</f>
        <v>535</v>
      </c>
      <c r="I45" s="104">
        <f>VLOOKUP(11,$A$4:$AZ$32,9,FALSE)</f>
        <v>581</v>
      </c>
      <c r="J45" s="104">
        <f>VLOOKUP(11,$A$4:$AZ$32,10,FALSE)</f>
        <v>568</v>
      </c>
      <c r="K45" s="104">
        <f>VLOOKUP(11,$A$4:$AZ$32,11,FALSE)</f>
        <v>574</v>
      </c>
      <c r="L45" s="104">
        <f>VLOOKUP(11,$A$4:$AZ$32,12,FALSE)</f>
        <v>542</v>
      </c>
      <c r="M45" s="104">
        <f>VLOOKUP(11,$A$4:$AZ$32,13,FALSE)</f>
        <v>614</v>
      </c>
      <c r="N45" s="104">
        <f>VLOOKUP(11,$A$4:$AZ$32,14,FALSE)</f>
        <v>597</v>
      </c>
      <c r="O45" s="104">
        <f>VLOOKUP(11,$A$4:$AZ$32,15,FALSE)</f>
        <v>626</v>
      </c>
      <c r="P45" s="104">
        <f>VLOOKUP(11,$A$4:$AZ$32,16,FALSE)</f>
        <v>595</v>
      </c>
      <c r="Q45" s="104">
        <f>VLOOKUP(11,$A$4:$AZ$32,17,FALSE)</f>
        <v>560</v>
      </c>
      <c r="R45" s="104">
        <f>VLOOKUP(11,$A$4:$AZ$32,18,FALSE)</f>
        <v>564</v>
      </c>
      <c r="S45" s="104">
        <f>VLOOKUP(11,$A$4:$AZ$32,19,FALSE)</f>
        <v>591</v>
      </c>
      <c r="T45" s="104">
        <f>VLOOKUP(11,$A$4:$AZ$32,20,FALSE)</f>
        <v>553</v>
      </c>
      <c r="U45" s="104">
        <f>VLOOKUP(11,$A$4:$AZ$32,21,FALSE)</f>
        <v>595</v>
      </c>
      <c r="V45" s="104">
        <f>VLOOKUP(11,$A$4:$AZ$32,22,FALSE)</f>
        <v>544</v>
      </c>
      <c r="W45" s="104">
        <f>VLOOKUP(11,$A$4:$AZ$32,23,FALSE)</f>
        <v>557</v>
      </c>
      <c r="X45" s="104">
        <f>VLOOKUP(11,$A$4:$AZ$32,24,FALSE)</f>
        <v>513</v>
      </c>
      <c r="Y45" s="104">
        <f>VLOOKUP(11,$A$4:$AZ$32,25,FALSE)</f>
        <v>602</v>
      </c>
      <c r="Z45" s="104">
        <f>VLOOKUP(11,$A$4:$AZ$32,26,FALSE)</f>
        <v>505</v>
      </c>
      <c r="AA45" s="104">
        <f>VLOOKUP(11,$A$4:$AZ$32,27,FALSE)</f>
        <v>602</v>
      </c>
      <c r="AB45" s="104">
        <f>VLOOKUP(11,$A$4:$AZ$32,28,FALSE)</f>
        <v>595</v>
      </c>
      <c r="AC45" s="104">
        <f>VLOOKUP(11,$A$4:$AZ$32,29,FALSE)</f>
        <v>562</v>
      </c>
      <c r="AD45" s="104">
        <f>VLOOKUP(11,$A$4:$AZ$32,30,FALSE)</f>
        <v>603</v>
      </c>
      <c r="AE45" s="104">
        <f>VLOOKUP(11,$A$4:$AZ$32,31,FALSE)</f>
        <v>555</v>
      </c>
      <c r="AF45" s="104">
        <f>VLOOKUP(11,$A$4:$AZ$32,32,FALSE)</f>
        <v>598</v>
      </c>
      <c r="AG45" s="104">
        <f>VLOOKUP(11,$A$4:$AZ$32,33,FALSE)</f>
        <v>546</v>
      </c>
      <c r="AH45" s="104">
        <f>VLOOKUP(11,$A$4:$AZ$32,34,FALSE)</f>
        <v>543</v>
      </c>
      <c r="AI45" s="104">
        <f>VLOOKUP(11,$A$4:$AZ$32,35,FALSE)</f>
        <v>620</v>
      </c>
    </row>
    <row r="46" spans="1:35" ht="12.75">
      <c r="A46">
        <v>12</v>
      </c>
      <c r="B46" s="78" t="s">
        <v>88</v>
      </c>
      <c r="C46" s="104">
        <f>VLOOKUP(12,$A$4:$AZ$32,3,FALSE)</f>
        <v>172</v>
      </c>
      <c r="D46" s="104">
        <f>VLOOKUP(12,$A$4:$AZ$32,4,FALSE)</f>
        <v>186</v>
      </c>
      <c r="E46" s="104">
        <f>VLOOKUP(12,$A$4:$AZ$32,5,FALSE)</f>
        <v>161</v>
      </c>
      <c r="F46" s="104">
        <f>VLOOKUP(12,$A$4:$AZ$32,6,FALSE)</f>
        <v>195</v>
      </c>
      <c r="G46" s="104">
        <f>VLOOKUP(12,$A$4:$AZ$32,7,FALSE)</f>
        <v>193</v>
      </c>
      <c r="H46" s="104">
        <f>VLOOKUP(12,$A$4:$AZ$32,8,FALSE)</f>
        <v>191</v>
      </c>
      <c r="I46" s="104">
        <f>VLOOKUP(12,$A$4:$AZ$32,9,FALSE)</f>
        <v>201</v>
      </c>
      <c r="J46" s="104">
        <f>VLOOKUP(12,$A$4:$AZ$32,10,FALSE)</f>
        <v>227</v>
      </c>
      <c r="K46" s="104">
        <f>VLOOKUP(12,$A$4:$AZ$32,11,FALSE)</f>
        <v>220</v>
      </c>
      <c r="L46" s="104">
        <f>VLOOKUP(12,$A$4:$AZ$32,12,FALSE)</f>
        <v>202</v>
      </c>
      <c r="M46" s="104">
        <f>VLOOKUP(12,$A$4:$AZ$32,13,FALSE)</f>
        <v>233</v>
      </c>
      <c r="N46" s="104">
        <f>VLOOKUP(12,$A$4:$AZ$32,14,FALSE)</f>
        <v>239</v>
      </c>
      <c r="O46" s="104">
        <f>VLOOKUP(12,$A$4:$AZ$32,15,FALSE)</f>
        <v>219</v>
      </c>
      <c r="P46" s="104">
        <f>VLOOKUP(12,$A$4:$AZ$32,16,FALSE)</f>
        <v>250</v>
      </c>
      <c r="Q46" s="104">
        <f>VLOOKUP(12,$A$4:$AZ$32,17,FALSE)</f>
        <v>218</v>
      </c>
      <c r="R46" s="104">
        <f>VLOOKUP(12,$A$4:$AZ$32,18,FALSE)</f>
        <v>232</v>
      </c>
      <c r="S46" s="104">
        <f>VLOOKUP(12,$A$4:$AZ$32,19,FALSE)</f>
        <v>221</v>
      </c>
      <c r="T46" s="104">
        <f>VLOOKUP(12,$A$4:$AZ$32,20,FALSE)</f>
        <v>198</v>
      </c>
      <c r="U46" s="104">
        <f>VLOOKUP(12,$A$4:$AZ$32,21,FALSE)</f>
        <v>219</v>
      </c>
      <c r="V46" s="104">
        <f>VLOOKUP(12,$A$4:$AZ$32,22,FALSE)</f>
        <v>212</v>
      </c>
      <c r="W46" s="104">
        <f>VLOOKUP(12,$A$4:$AZ$32,23,FALSE)</f>
        <v>243</v>
      </c>
      <c r="X46" s="104">
        <f>VLOOKUP(12,$A$4:$AZ$32,24,FALSE)</f>
        <v>197</v>
      </c>
      <c r="Y46" s="104">
        <f>VLOOKUP(12,$A$4:$AZ$32,25,FALSE)</f>
        <v>226</v>
      </c>
      <c r="Z46" s="104">
        <f>VLOOKUP(12,$A$4:$AZ$32,26,FALSE)</f>
        <v>193</v>
      </c>
      <c r="AA46" s="104">
        <f>VLOOKUP(12,$A$4:$AZ$32,27,FALSE)</f>
        <v>224</v>
      </c>
      <c r="AB46" s="104">
        <f>VLOOKUP(12,$A$4:$AZ$32,28,FALSE)</f>
        <v>212</v>
      </c>
      <c r="AC46" s="104">
        <f>VLOOKUP(12,$A$4:$AZ$32,29,FALSE)</f>
        <v>196</v>
      </c>
      <c r="AD46" s="104">
        <f>VLOOKUP(12,$A$4:$AZ$32,30,FALSE)</f>
        <v>212</v>
      </c>
      <c r="AE46" s="104">
        <f>VLOOKUP(12,$A$4:$AZ$32,31,FALSE)</f>
        <v>213</v>
      </c>
      <c r="AF46" s="104">
        <f>VLOOKUP(12,$A$4:$AZ$32,32,FALSE)</f>
        <v>231</v>
      </c>
      <c r="AG46" s="104">
        <f>VLOOKUP(12,$A$4:$AZ$32,33,FALSE)</f>
        <v>214</v>
      </c>
      <c r="AH46" s="104">
        <f>VLOOKUP(12,$A$4:$AZ$32,34,FALSE)</f>
        <v>211</v>
      </c>
      <c r="AI46" s="104">
        <f>VLOOKUP(12,$A$4:$AZ$32,35,FALSE)</f>
        <v>245</v>
      </c>
    </row>
    <row r="47" spans="1:35" ht="12.75">
      <c r="A47">
        <v>13</v>
      </c>
      <c r="B47" s="78" t="s">
        <v>89</v>
      </c>
      <c r="C47" s="104">
        <f>VLOOKUP(13,$A$4:$AZ$32,3,FALSE)</f>
        <v>197</v>
      </c>
      <c r="D47" s="104">
        <f>VLOOKUP(13,$A$4:$AZ$32,4,FALSE)</f>
        <v>215</v>
      </c>
      <c r="E47" s="104">
        <f>VLOOKUP(13,$A$4:$AZ$32,5,FALSE)</f>
        <v>192</v>
      </c>
      <c r="F47" s="104">
        <f>VLOOKUP(13,$A$4:$AZ$32,6,FALSE)</f>
        <v>217</v>
      </c>
      <c r="G47" s="104">
        <f>VLOOKUP(13,$A$4:$AZ$32,7,FALSE)</f>
        <v>200</v>
      </c>
      <c r="H47" s="104">
        <f>VLOOKUP(13,$A$4:$AZ$32,8,FALSE)</f>
        <v>183</v>
      </c>
      <c r="I47" s="104">
        <f>VLOOKUP(13,$A$4:$AZ$32,9,FALSE)</f>
        <v>202</v>
      </c>
      <c r="J47" s="104">
        <f>VLOOKUP(13,$A$4:$AZ$32,10,FALSE)</f>
        <v>200</v>
      </c>
      <c r="K47" s="104">
        <f>VLOOKUP(13,$A$4:$AZ$32,11,FALSE)</f>
        <v>196</v>
      </c>
      <c r="L47" s="104">
        <f>VLOOKUP(13,$A$4:$AZ$32,12,FALSE)</f>
        <v>173</v>
      </c>
      <c r="M47" s="104">
        <f>VLOOKUP(13,$A$4:$AZ$32,13,FALSE)</f>
        <v>209</v>
      </c>
      <c r="N47" s="104">
        <f>VLOOKUP(13,$A$4:$AZ$32,14,FALSE)</f>
        <v>191</v>
      </c>
      <c r="O47" s="104">
        <f>VLOOKUP(13,$A$4:$AZ$32,15,FALSE)</f>
        <v>206</v>
      </c>
      <c r="P47" s="104">
        <f>VLOOKUP(13,$A$4:$AZ$32,16,FALSE)</f>
        <v>202</v>
      </c>
      <c r="Q47" s="104">
        <f>VLOOKUP(13,$A$4:$AZ$32,17,FALSE)</f>
        <v>188</v>
      </c>
      <c r="R47" s="104">
        <f>VLOOKUP(13,$A$4:$AZ$32,18,FALSE)</f>
        <v>205</v>
      </c>
      <c r="S47" s="104">
        <f>VLOOKUP(13,$A$4:$AZ$32,19,FALSE)</f>
        <v>193</v>
      </c>
      <c r="T47" s="104">
        <f>VLOOKUP(13,$A$4:$AZ$32,20,FALSE)</f>
        <v>188</v>
      </c>
      <c r="U47" s="104">
        <f>VLOOKUP(13,$A$4:$AZ$32,21,FALSE)</f>
        <v>210</v>
      </c>
      <c r="V47" s="104">
        <f>VLOOKUP(13,$A$4:$AZ$32,22,FALSE)</f>
        <v>184</v>
      </c>
      <c r="W47" s="104">
        <f>VLOOKUP(13,$A$4:$AZ$32,23,FALSE)</f>
        <v>202</v>
      </c>
      <c r="X47" s="104">
        <f>VLOOKUP(13,$A$4:$AZ$32,24,FALSE)</f>
        <v>189</v>
      </c>
      <c r="Y47" s="104">
        <f>VLOOKUP(13,$A$4:$AZ$32,25,FALSE)</f>
        <v>193</v>
      </c>
      <c r="Z47" s="104">
        <f>VLOOKUP(13,$A$4:$AZ$32,26,FALSE)</f>
        <v>177</v>
      </c>
      <c r="AA47" s="104">
        <f>VLOOKUP(13,$A$4:$AZ$32,27,FALSE)</f>
        <v>203</v>
      </c>
      <c r="AB47" s="104">
        <f>VLOOKUP(13,$A$4:$AZ$32,28,FALSE)</f>
        <v>192</v>
      </c>
      <c r="AC47" s="104">
        <f>VLOOKUP(13,$A$4:$AZ$32,29,FALSE)</f>
        <v>195</v>
      </c>
      <c r="AD47" s="104">
        <f>VLOOKUP(13,$A$4:$AZ$32,30,FALSE)</f>
        <v>204</v>
      </c>
      <c r="AE47" s="104">
        <f>VLOOKUP(13,$A$4:$AZ$32,31,FALSE)</f>
        <v>185</v>
      </c>
      <c r="AF47" s="104">
        <f>VLOOKUP(13,$A$4:$AZ$32,32,FALSE)</f>
        <v>196</v>
      </c>
      <c r="AG47" s="104">
        <f>VLOOKUP(13,$A$4:$AZ$32,33,FALSE)</f>
        <v>176</v>
      </c>
      <c r="AH47" s="104">
        <f>VLOOKUP(13,$A$4:$AZ$32,34,FALSE)</f>
        <v>189</v>
      </c>
      <c r="AI47" s="104">
        <f>VLOOKUP(13,$A$4:$AZ$32,35,FALSE)</f>
        <v>209</v>
      </c>
    </row>
    <row r="48" spans="1:35" ht="12.75">
      <c r="A48">
        <v>14</v>
      </c>
      <c r="B48" s="78" t="s">
        <v>90</v>
      </c>
      <c r="C48" s="104">
        <f>VLOOKUP(14,$A$4:$AZ$32,3,FALSE)</f>
        <v>3</v>
      </c>
      <c r="D48" s="104">
        <f>VLOOKUP(14,$A$4:$AZ$32,4,FALSE)</f>
        <v>10</v>
      </c>
      <c r="E48" s="104">
        <f>VLOOKUP(14,$A$4:$AZ$32,5,FALSE)</f>
        <v>6</v>
      </c>
      <c r="F48" s="104">
        <f>VLOOKUP(14,$A$4:$AZ$32,6,FALSE)</f>
        <v>7</v>
      </c>
      <c r="G48" s="104">
        <f>VLOOKUP(14,$A$4:$AZ$32,7,FALSE)</f>
        <v>10</v>
      </c>
      <c r="H48" s="104">
        <f>VLOOKUP(14,$A$4:$AZ$32,8,FALSE)</f>
        <v>8</v>
      </c>
      <c r="I48" s="104">
        <f>VLOOKUP(14,$A$4:$AZ$32,9,FALSE)</f>
        <v>11</v>
      </c>
      <c r="J48" s="104">
        <f>VLOOKUP(14,$A$4:$AZ$32,10,FALSE)</f>
        <v>7</v>
      </c>
      <c r="K48" s="104">
        <f>VLOOKUP(14,$A$4:$AZ$32,11,FALSE)</f>
        <v>10</v>
      </c>
      <c r="L48" s="104">
        <f>VLOOKUP(14,$A$4:$AZ$32,12,FALSE)</f>
        <v>11</v>
      </c>
      <c r="M48" s="104">
        <f>VLOOKUP(14,$A$4:$AZ$32,13,FALSE)</f>
        <v>13</v>
      </c>
      <c r="N48" s="104">
        <f>VLOOKUP(14,$A$4:$AZ$32,14,FALSE)</f>
        <v>19</v>
      </c>
      <c r="O48" s="104">
        <f>VLOOKUP(14,$A$4:$AZ$32,15,FALSE)</f>
        <v>18</v>
      </c>
      <c r="P48" s="104">
        <f>VLOOKUP(14,$A$4:$AZ$32,16,FALSE)</f>
        <v>10</v>
      </c>
      <c r="Q48" s="104">
        <f>VLOOKUP(14,$A$4:$AZ$32,17,FALSE)</f>
        <v>14</v>
      </c>
      <c r="R48" s="104">
        <f>VLOOKUP(14,$A$4:$AZ$32,18,FALSE)</f>
        <v>17</v>
      </c>
      <c r="S48" s="104">
        <f>VLOOKUP(14,$A$4:$AZ$32,19,FALSE)</f>
        <v>13</v>
      </c>
      <c r="T48" s="104">
        <f>VLOOKUP(14,$A$4:$AZ$32,20,FALSE)</f>
        <v>12</v>
      </c>
      <c r="U48" s="104">
        <f>VLOOKUP(14,$A$4:$AZ$32,21,FALSE)</f>
        <v>16</v>
      </c>
      <c r="V48" s="104">
        <f>VLOOKUP(14,$A$4:$AZ$32,22,FALSE)</f>
        <v>11</v>
      </c>
      <c r="W48" s="104">
        <f>VLOOKUP(14,$A$4:$AZ$32,23,FALSE)</f>
        <v>8</v>
      </c>
      <c r="X48" s="104">
        <f>VLOOKUP(14,$A$4:$AZ$32,24,FALSE)</f>
        <v>13</v>
      </c>
      <c r="Y48" s="104">
        <f>VLOOKUP(14,$A$4:$AZ$32,25,FALSE)</f>
        <v>6</v>
      </c>
      <c r="Z48" s="104">
        <f>VLOOKUP(14,$A$4:$AZ$32,26,FALSE)</f>
        <v>12</v>
      </c>
      <c r="AA48" s="104">
        <f>VLOOKUP(14,$A$4:$AZ$32,27,FALSE)</f>
        <v>10</v>
      </c>
      <c r="AB48" s="104">
        <f>VLOOKUP(14,$A$4:$AZ$32,28,FALSE)</f>
        <v>15</v>
      </c>
      <c r="AC48" s="104">
        <f>VLOOKUP(14,$A$4:$AZ$32,29,FALSE)</f>
        <v>11</v>
      </c>
      <c r="AD48" s="104">
        <f>VLOOKUP(14,$A$4:$AZ$32,30,FALSE)</f>
        <v>14</v>
      </c>
      <c r="AE48" s="104">
        <f>VLOOKUP(14,$A$4:$AZ$32,31,FALSE)</f>
        <v>14</v>
      </c>
      <c r="AF48" s="104">
        <f>VLOOKUP(14,$A$4:$AZ$32,32,FALSE)</f>
        <v>22</v>
      </c>
      <c r="AG48" s="104">
        <f>VLOOKUP(14,$A$4:$AZ$32,33,FALSE)</f>
        <v>19</v>
      </c>
      <c r="AH48" s="104">
        <f>VLOOKUP(14,$A$4:$AZ$32,34,FALSE)</f>
        <v>18</v>
      </c>
      <c r="AI48" s="104">
        <f>VLOOKUP(14,$A$4:$AZ$32,35,FALSE)</f>
        <v>31</v>
      </c>
    </row>
    <row r="49" spans="1:35" ht="12.75">
      <c r="A49">
        <v>15</v>
      </c>
      <c r="B49" s="78" t="s">
        <v>91</v>
      </c>
      <c r="C49" s="104">
        <f>VLOOKUP(15,$A$4:$AZ$32,3,FALSE)</f>
        <v>0</v>
      </c>
      <c r="D49" s="104">
        <f>VLOOKUP(15,$A$4:$AZ$32,4,FALSE)</f>
        <v>0</v>
      </c>
      <c r="E49" s="104">
        <f>VLOOKUP(15,$A$4:$AZ$32,5,FALSE)</f>
        <v>0</v>
      </c>
      <c r="F49" s="104">
        <f>VLOOKUP(15,$A$4:$AZ$32,6,FALSE)</f>
        <v>0</v>
      </c>
      <c r="G49" s="104">
        <f>VLOOKUP(15,$A$4:$AZ$32,7,FALSE)</f>
        <v>0</v>
      </c>
      <c r="H49" s="104">
        <f>VLOOKUP(15,$A$4:$AZ$32,8,FALSE)</f>
        <v>0</v>
      </c>
      <c r="I49" s="104">
        <f>VLOOKUP(15,$A$4:$AZ$32,9,FALSE)</f>
        <v>0</v>
      </c>
      <c r="J49" s="104">
        <f>VLOOKUP(15,$A$4:$AZ$32,10,FALSE)</f>
        <v>0</v>
      </c>
      <c r="K49" s="104">
        <f>VLOOKUP(15,$A$4:$AZ$32,11,FALSE)</f>
        <v>0</v>
      </c>
      <c r="L49" s="104">
        <f>VLOOKUP(15,$A$4:$AZ$32,12,FALSE)</f>
        <v>0</v>
      </c>
      <c r="M49" s="104">
        <f>VLOOKUP(15,$A$4:$AZ$32,13,FALSE)</f>
        <v>0</v>
      </c>
      <c r="N49" s="104">
        <f>VLOOKUP(15,$A$4:$AZ$32,14,FALSE)</f>
        <v>0</v>
      </c>
      <c r="O49" s="104">
        <f>VLOOKUP(15,$A$4:$AZ$32,15,FALSE)</f>
        <v>0</v>
      </c>
      <c r="P49" s="104">
        <f>VLOOKUP(15,$A$4:$AZ$32,16,FALSE)</f>
        <v>0</v>
      </c>
      <c r="Q49" s="104">
        <f>VLOOKUP(15,$A$4:$AZ$32,17,FALSE)</f>
        <v>0</v>
      </c>
      <c r="R49" s="104">
        <f>VLOOKUP(15,$A$4:$AZ$32,18,FALSE)</f>
        <v>0</v>
      </c>
      <c r="S49" s="104">
        <f>VLOOKUP(15,$A$4:$AZ$32,19,FALSE)</f>
        <v>0</v>
      </c>
      <c r="T49" s="104">
        <f>VLOOKUP(15,$A$4:$AZ$32,20,FALSE)</f>
        <v>0</v>
      </c>
      <c r="U49" s="104">
        <f>VLOOKUP(15,$A$4:$AZ$32,21,FALSE)</f>
        <v>0</v>
      </c>
      <c r="V49" s="104">
        <f>VLOOKUP(15,$A$4:$AZ$32,22,FALSE)</f>
        <v>0</v>
      </c>
      <c r="W49" s="104">
        <f>VLOOKUP(15,$A$4:$AZ$32,23,FALSE)</f>
        <v>0</v>
      </c>
      <c r="X49" s="104">
        <f>VLOOKUP(15,$A$4:$AZ$32,24,FALSE)</f>
        <v>34</v>
      </c>
      <c r="Y49" s="104">
        <f>VLOOKUP(15,$A$4:$AZ$32,25,FALSE)</f>
        <v>82</v>
      </c>
      <c r="Z49" s="104">
        <f>VLOOKUP(15,$A$4:$AZ$32,26,FALSE)</f>
        <v>100</v>
      </c>
      <c r="AA49" s="104">
        <f>VLOOKUP(15,$A$4:$AZ$32,27,FALSE)</f>
        <v>146</v>
      </c>
      <c r="AB49" s="104">
        <f>VLOOKUP(15,$A$4:$AZ$32,28,FALSE)</f>
        <v>155</v>
      </c>
      <c r="AC49" s="104">
        <f>VLOOKUP(15,$A$4:$AZ$32,29,FALSE)</f>
        <v>156</v>
      </c>
      <c r="AD49" s="104">
        <f>VLOOKUP(15,$A$4:$AZ$32,30,FALSE)</f>
        <v>162</v>
      </c>
      <c r="AE49" s="104">
        <f>VLOOKUP(15,$A$4:$AZ$32,31,FALSE)</f>
        <v>171</v>
      </c>
      <c r="AF49" s="104">
        <f>VLOOKUP(15,$A$4:$AZ$32,32,FALSE)</f>
        <v>214</v>
      </c>
      <c r="AG49" s="104">
        <f>VLOOKUP(15,$A$4:$AZ$32,33,FALSE)</f>
        <v>234</v>
      </c>
      <c r="AH49" s="104">
        <f>VLOOKUP(15,$A$4:$AZ$32,34,FALSE)</f>
        <v>208</v>
      </c>
      <c r="AI49" s="104">
        <f>VLOOKUP(15,$A$4:$AZ$32,35,FALSE)</f>
        <v>258</v>
      </c>
    </row>
    <row r="50" spans="1:35" ht="12.75">
      <c r="A50">
        <v>16</v>
      </c>
      <c r="B50" s="78" t="s">
        <v>92</v>
      </c>
      <c r="C50" s="104">
        <f>VLOOKUP(16,$A$4:$AZ$32,3,FALSE)</f>
        <v>62</v>
      </c>
      <c r="D50" s="104">
        <f>VLOOKUP(16,$A$4:$AZ$32,4,FALSE)</f>
        <v>126</v>
      </c>
      <c r="E50" s="104">
        <f>VLOOKUP(16,$A$4:$AZ$32,5,FALSE)</f>
        <v>140</v>
      </c>
      <c r="F50" s="104">
        <f>VLOOKUP(16,$A$4:$AZ$32,6,FALSE)</f>
        <v>121</v>
      </c>
      <c r="G50" s="104">
        <f>VLOOKUP(16,$A$4:$AZ$32,7,FALSE)</f>
        <v>134</v>
      </c>
      <c r="H50" s="104">
        <f>VLOOKUP(16,$A$4:$AZ$32,8,FALSE)</f>
        <v>138</v>
      </c>
      <c r="I50" s="104">
        <f>VLOOKUP(16,$A$4:$AZ$32,9,FALSE)</f>
        <v>147</v>
      </c>
      <c r="J50" s="104">
        <f>VLOOKUP(16,$A$4:$AZ$32,10,FALSE)</f>
        <v>114</v>
      </c>
      <c r="K50" s="104">
        <f>VLOOKUP(16,$A$4:$AZ$32,11,FALSE)</f>
        <v>136</v>
      </c>
      <c r="L50" s="104">
        <f>VLOOKUP(16,$A$4:$AZ$32,12,FALSE)</f>
        <v>126</v>
      </c>
      <c r="M50" s="104">
        <f>VLOOKUP(16,$A$4:$AZ$32,13,FALSE)</f>
        <v>162</v>
      </c>
      <c r="N50" s="104">
        <f>VLOOKUP(16,$A$4:$AZ$32,14,FALSE)</f>
        <v>172</v>
      </c>
      <c r="O50" s="104">
        <f>VLOOKUP(16,$A$4:$AZ$32,15,FALSE)</f>
        <v>196</v>
      </c>
      <c r="P50" s="104">
        <f>VLOOKUP(16,$A$4:$AZ$32,16,FALSE)</f>
        <v>202</v>
      </c>
      <c r="Q50" s="104">
        <f>VLOOKUP(16,$A$4:$AZ$32,17,FALSE)</f>
        <v>180</v>
      </c>
      <c r="R50" s="104">
        <f>VLOOKUP(16,$A$4:$AZ$32,18,FALSE)</f>
        <v>210</v>
      </c>
      <c r="S50" s="104">
        <f>VLOOKUP(16,$A$4:$AZ$32,19,FALSE)</f>
        <v>197</v>
      </c>
      <c r="T50" s="104">
        <f>VLOOKUP(16,$A$4:$AZ$32,20,FALSE)</f>
        <v>222</v>
      </c>
      <c r="U50" s="104">
        <f>VLOOKUP(16,$A$4:$AZ$32,21,FALSE)</f>
        <v>216</v>
      </c>
      <c r="V50" s="104">
        <f>VLOOKUP(16,$A$4:$AZ$32,22,FALSE)</f>
        <v>215</v>
      </c>
      <c r="W50" s="104">
        <f>VLOOKUP(16,$A$4:$AZ$32,23,FALSE)</f>
        <v>231</v>
      </c>
      <c r="X50" s="104">
        <f>VLOOKUP(16,$A$4:$AZ$32,24,FALSE)</f>
        <v>234</v>
      </c>
      <c r="Y50" s="104">
        <f>VLOOKUP(16,$A$4:$AZ$32,25,FALSE)</f>
        <v>265</v>
      </c>
      <c r="Z50" s="104">
        <f>VLOOKUP(16,$A$4:$AZ$32,26,FALSE)</f>
        <v>232</v>
      </c>
      <c r="AA50" s="104">
        <f>VLOOKUP(16,$A$4:$AZ$32,27,FALSE)</f>
        <v>253</v>
      </c>
      <c r="AB50" s="104">
        <f>VLOOKUP(16,$A$4:$AZ$32,28,FALSE)</f>
        <v>263</v>
      </c>
      <c r="AC50" s="104">
        <f>VLOOKUP(16,$A$4:$AZ$32,29,FALSE)</f>
        <v>231</v>
      </c>
      <c r="AD50" s="104">
        <f>VLOOKUP(16,$A$4:$AZ$32,30,FALSE)</f>
        <v>256</v>
      </c>
      <c r="AE50" s="104">
        <f>VLOOKUP(16,$A$4:$AZ$32,31,FALSE)</f>
        <v>247</v>
      </c>
      <c r="AF50" s="104">
        <f>VLOOKUP(16,$A$4:$AZ$32,32,FALSE)</f>
        <v>288</v>
      </c>
      <c r="AG50" s="104">
        <f>VLOOKUP(16,$A$4:$AZ$32,33,FALSE)</f>
        <v>247</v>
      </c>
      <c r="AH50" s="104">
        <f>VLOOKUP(16,$A$4:$AZ$32,34,FALSE)</f>
        <v>244</v>
      </c>
      <c r="AI50" s="104">
        <f>VLOOKUP(16,$A$4:$AZ$32,35,FALSE)</f>
        <v>290</v>
      </c>
    </row>
    <row r="51" spans="1:35" ht="12.75">
      <c r="A51">
        <v>17</v>
      </c>
      <c r="B51" s="78" t="s">
        <v>93</v>
      </c>
      <c r="C51" s="104">
        <f>VLOOKUP(17,$A$4:$AZ$32,3,FALSE)</f>
        <v>4</v>
      </c>
      <c r="D51" s="104">
        <f>VLOOKUP(17,$A$4:$AZ$32,4,FALSE)</f>
        <v>12</v>
      </c>
      <c r="E51" s="104">
        <f>VLOOKUP(17,$A$4:$AZ$32,5,FALSE)</f>
        <v>10</v>
      </c>
      <c r="F51" s="104">
        <f>VLOOKUP(17,$A$4:$AZ$32,6,FALSE)</f>
        <v>10</v>
      </c>
      <c r="G51" s="104">
        <f>VLOOKUP(17,$A$4:$AZ$32,7,FALSE)</f>
        <v>14</v>
      </c>
      <c r="H51" s="104">
        <f>VLOOKUP(17,$A$4:$AZ$32,8,FALSE)</f>
        <v>16</v>
      </c>
      <c r="I51" s="104">
        <f>VLOOKUP(17,$A$4:$AZ$32,9,FALSE)</f>
        <v>22</v>
      </c>
      <c r="J51" s="104">
        <f>VLOOKUP(17,$A$4:$AZ$32,10,FALSE)</f>
        <v>19</v>
      </c>
      <c r="K51" s="104">
        <f>VLOOKUP(17,$A$4:$AZ$32,11,FALSE)</f>
        <v>14</v>
      </c>
      <c r="L51" s="104">
        <f>VLOOKUP(17,$A$4:$AZ$32,12,FALSE)</f>
        <v>20</v>
      </c>
      <c r="M51" s="104">
        <f>VLOOKUP(17,$A$4:$AZ$32,13,FALSE)</f>
        <v>27</v>
      </c>
      <c r="N51" s="104">
        <f>VLOOKUP(17,$A$4:$AZ$32,14,FALSE)</f>
        <v>19</v>
      </c>
      <c r="O51" s="104">
        <f>VLOOKUP(17,$A$4:$AZ$32,15,FALSE)</f>
        <v>24</v>
      </c>
      <c r="P51" s="104">
        <f>VLOOKUP(17,$A$4:$AZ$32,16,FALSE)</f>
        <v>23</v>
      </c>
      <c r="Q51" s="104">
        <f>VLOOKUP(17,$A$4:$AZ$32,17,FALSE)</f>
        <v>17</v>
      </c>
      <c r="R51" s="104">
        <f>VLOOKUP(17,$A$4:$AZ$32,18,FALSE)</f>
        <v>21</v>
      </c>
      <c r="S51" s="104">
        <f>VLOOKUP(17,$A$4:$AZ$32,19,FALSE)</f>
        <v>24</v>
      </c>
      <c r="T51" s="104">
        <f>VLOOKUP(17,$A$4:$AZ$32,20,FALSE)</f>
        <v>17</v>
      </c>
      <c r="U51" s="104">
        <f>VLOOKUP(17,$A$4:$AZ$32,21,FALSE)</f>
        <v>30</v>
      </c>
      <c r="V51" s="104">
        <f>VLOOKUP(17,$A$4:$AZ$32,22,FALSE)</f>
        <v>28</v>
      </c>
      <c r="W51" s="104">
        <f>VLOOKUP(17,$A$4:$AZ$32,23,FALSE)</f>
        <v>25</v>
      </c>
      <c r="X51" s="104">
        <f>VLOOKUP(17,$A$4:$AZ$32,24,FALSE)</f>
        <v>24</v>
      </c>
      <c r="Y51" s="104">
        <f>VLOOKUP(17,$A$4:$AZ$32,25,FALSE)</f>
        <v>32</v>
      </c>
      <c r="Z51" s="104">
        <f>VLOOKUP(17,$A$4:$AZ$32,26,FALSE)</f>
        <v>22</v>
      </c>
      <c r="AA51" s="104">
        <f>VLOOKUP(17,$A$4:$AZ$32,27,FALSE)</f>
        <v>34</v>
      </c>
      <c r="AB51" s="104">
        <f>VLOOKUP(17,$A$4:$AZ$32,28,FALSE)</f>
        <v>28</v>
      </c>
      <c r="AC51" s="104">
        <f>VLOOKUP(17,$A$4:$AZ$32,29,FALSE)</f>
        <v>28</v>
      </c>
      <c r="AD51" s="104">
        <f>VLOOKUP(17,$A$4:$AZ$32,30,FALSE)</f>
        <v>40</v>
      </c>
      <c r="AE51" s="104">
        <f>VLOOKUP(17,$A$4:$AZ$32,31,FALSE)</f>
        <v>26</v>
      </c>
      <c r="AF51" s="104">
        <f>VLOOKUP(17,$A$4:$AZ$32,32,FALSE)</f>
        <v>43</v>
      </c>
      <c r="AG51" s="104">
        <f>VLOOKUP(17,$A$4:$AZ$32,33,FALSE)</f>
        <v>29</v>
      </c>
      <c r="AH51" s="104">
        <f>VLOOKUP(17,$A$4:$AZ$32,34,FALSE)</f>
        <v>28</v>
      </c>
      <c r="AI51" s="104">
        <f>VLOOKUP(17,$A$4:$AZ$32,35,FALSE)</f>
        <v>35</v>
      </c>
    </row>
    <row r="52" spans="1:35" ht="12.75">
      <c r="A52">
        <v>18</v>
      </c>
      <c r="B52" s="78" t="s">
        <v>94</v>
      </c>
      <c r="C52" s="104">
        <f>VLOOKUP(18,$A$4:$AZ$32,3,FALSE)</f>
        <v>0</v>
      </c>
      <c r="D52" s="104">
        <f>VLOOKUP(18,$A$4:$AZ$32,4,FALSE)</f>
        <v>0</v>
      </c>
      <c r="E52" s="104">
        <f>VLOOKUP(18,$A$4:$AZ$32,5,FALSE)</f>
        <v>0</v>
      </c>
      <c r="F52" s="104">
        <f>VLOOKUP(18,$A$4:$AZ$32,6,FALSE)</f>
        <v>0</v>
      </c>
      <c r="G52" s="104">
        <f>VLOOKUP(18,$A$4:$AZ$32,7,FALSE)</f>
        <v>0</v>
      </c>
      <c r="H52" s="104">
        <f>VLOOKUP(18,$A$4:$AZ$32,8,FALSE)</f>
        <v>0</v>
      </c>
      <c r="I52" s="104">
        <f>VLOOKUP(18,$A$4:$AZ$32,9,FALSE)</f>
        <v>0</v>
      </c>
      <c r="J52" s="104">
        <f>VLOOKUP(18,$A$4:$AZ$32,10,FALSE)</f>
        <v>0</v>
      </c>
      <c r="K52" s="104">
        <f>VLOOKUP(18,$A$4:$AZ$32,11,FALSE)</f>
        <v>5</v>
      </c>
      <c r="L52" s="104">
        <f>VLOOKUP(18,$A$4:$AZ$32,12,FALSE)</f>
        <v>13</v>
      </c>
      <c r="M52" s="104">
        <f>VLOOKUP(18,$A$4:$AZ$32,13,FALSE)</f>
        <v>31</v>
      </c>
      <c r="N52" s="104">
        <f>VLOOKUP(18,$A$4:$AZ$32,14,FALSE)</f>
        <v>43</v>
      </c>
      <c r="O52" s="104">
        <f>VLOOKUP(18,$A$4:$AZ$32,15,FALSE)</f>
        <v>51</v>
      </c>
      <c r="P52" s="104">
        <f>VLOOKUP(18,$A$4:$AZ$32,16,FALSE)</f>
        <v>80</v>
      </c>
      <c r="Q52" s="104">
        <f>VLOOKUP(18,$A$4:$AZ$32,17,FALSE)</f>
        <v>71</v>
      </c>
      <c r="R52" s="104">
        <f>VLOOKUP(18,$A$4:$AZ$32,18,FALSE)</f>
        <v>87</v>
      </c>
      <c r="S52" s="104">
        <f>VLOOKUP(18,$A$4:$AZ$32,19,FALSE)</f>
        <v>111</v>
      </c>
      <c r="T52" s="104">
        <f>VLOOKUP(18,$A$4:$AZ$32,20,FALSE)</f>
        <v>115</v>
      </c>
      <c r="U52" s="104">
        <f>VLOOKUP(18,$A$4:$AZ$32,21,FALSE)</f>
        <v>112</v>
      </c>
      <c r="V52" s="104">
        <f>VLOOKUP(18,$A$4:$AZ$32,22,FALSE)</f>
        <v>135</v>
      </c>
      <c r="W52" s="104">
        <f>VLOOKUP(18,$A$4:$AZ$32,23,FALSE)</f>
        <v>141</v>
      </c>
      <c r="X52" s="104">
        <f>VLOOKUP(18,$A$4:$AZ$32,24,FALSE)</f>
        <v>159</v>
      </c>
      <c r="Y52" s="104">
        <f>VLOOKUP(18,$A$4:$AZ$32,25,FALSE)</f>
        <v>168</v>
      </c>
      <c r="Z52" s="104">
        <f>VLOOKUP(18,$A$4:$AZ$32,26,FALSE)</f>
        <v>128</v>
      </c>
      <c r="AA52" s="104">
        <f>VLOOKUP(18,$A$4:$AZ$32,27,FALSE)</f>
        <v>162</v>
      </c>
      <c r="AB52" s="104">
        <f>VLOOKUP(18,$A$4:$AZ$32,28,FALSE)</f>
        <v>163</v>
      </c>
      <c r="AC52" s="104">
        <f>VLOOKUP(18,$A$4:$AZ$32,29,FALSE)</f>
        <v>156</v>
      </c>
      <c r="AD52" s="104">
        <f>VLOOKUP(18,$A$4:$AZ$32,30,FALSE)</f>
        <v>159</v>
      </c>
      <c r="AE52" s="104">
        <f>VLOOKUP(18,$A$4:$AZ$32,31,FALSE)</f>
        <v>155</v>
      </c>
      <c r="AF52" s="104">
        <f>VLOOKUP(18,$A$4:$AZ$32,32,FALSE)</f>
        <v>189</v>
      </c>
      <c r="AG52" s="104">
        <f>VLOOKUP(18,$A$4:$AZ$32,33,FALSE)</f>
        <v>179</v>
      </c>
      <c r="AH52" s="104">
        <f>VLOOKUP(18,$A$4:$AZ$32,34,FALSE)</f>
        <v>147</v>
      </c>
      <c r="AI52" s="104">
        <f>VLOOKUP(18,$A$4:$AZ$32,35,FALSE)</f>
        <v>188</v>
      </c>
    </row>
    <row r="53" spans="1:35" ht="12.75">
      <c r="A53">
        <v>19</v>
      </c>
      <c r="B53" s="78" t="s">
        <v>95</v>
      </c>
      <c r="C53" s="104">
        <f>VLOOKUP(19,$A$4:$AZ$32,3,FALSE)</f>
        <v>0</v>
      </c>
      <c r="D53" s="104">
        <f>VLOOKUP(19,$A$4:$AZ$32,4,FALSE)</f>
        <v>0</v>
      </c>
      <c r="E53" s="104">
        <f>VLOOKUP(19,$A$4:$AZ$32,5,FALSE)</f>
        <v>0</v>
      </c>
      <c r="F53" s="104">
        <f>VLOOKUP(19,$A$4:$AZ$32,6,FALSE)</f>
        <v>0</v>
      </c>
      <c r="G53" s="104">
        <f>VLOOKUP(19,$A$4:$AZ$32,7,FALSE)</f>
        <v>0</v>
      </c>
      <c r="H53" s="104">
        <f>VLOOKUP(19,$A$4:$AZ$32,8,FALSE)</f>
        <v>0</v>
      </c>
      <c r="I53" s="104">
        <f>VLOOKUP(19,$A$4:$AZ$32,9,FALSE)</f>
        <v>0</v>
      </c>
      <c r="J53" s="104">
        <f>VLOOKUP(19,$A$4:$AZ$32,10,FALSE)</f>
        <v>0</v>
      </c>
      <c r="K53" s="104">
        <f>VLOOKUP(19,$A$4:$AZ$32,11,FALSE)</f>
        <v>0</v>
      </c>
      <c r="L53" s="104">
        <f>VLOOKUP(19,$A$4:$AZ$32,12,FALSE)</f>
        <v>0</v>
      </c>
      <c r="M53" s="104">
        <f>VLOOKUP(19,$A$4:$AZ$32,13,FALSE)</f>
        <v>0</v>
      </c>
      <c r="N53" s="104">
        <f>VLOOKUP(19,$A$4:$AZ$32,14,FALSE)</f>
        <v>0</v>
      </c>
      <c r="O53" s="104">
        <f>VLOOKUP(19,$A$4:$AZ$32,15,FALSE)</f>
        <v>0</v>
      </c>
      <c r="P53" s="104">
        <f>VLOOKUP(19,$A$4:$AZ$32,16,FALSE)</f>
        <v>0</v>
      </c>
      <c r="Q53" s="104">
        <f>VLOOKUP(19,$A$4:$AZ$32,17,FALSE)</f>
        <v>0</v>
      </c>
      <c r="R53" s="104">
        <f>VLOOKUP(19,$A$4:$AZ$32,18,FALSE)</f>
        <v>0</v>
      </c>
      <c r="S53" s="104">
        <f>VLOOKUP(19,$A$4:$AZ$32,19,FALSE)</f>
        <v>0</v>
      </c>
      <c r="T53" s="104">
        <f>VLOOKUP(19,$A$4:$AZ$32,20,FALSE)</f>
        <v>0</v>
      </c>
      <c r="U53" s="104">
        <f>VLOOKUP(19,$A$4:$AZ$32,21,FALSE)</f>
        <v>0</v>
      </c>
      <c r="V53" s="104">
        <f>VLOOKUP(19,$A$4:$AZ$32,22,FALSE)</f>
        <v>0</v>
      </c>
      <c r="W53" s="104">
        <f>VLOOKUP(19,$A$4:$AZ$32,23,FALSE)</f>
        <v>2</v>
      </c>
      <c r="X53" s="104">
        <f>VLOOKUP(19,$A$4:$AZ$32,24,FALSE)</f>
        <v>9</v>
      </c>
      <c r="Y53" s="104">
        <f>VLOOKUP(19,$A$4:$AZ$32,25,FALSE)</f>
        <v>26</v>
      </c>
      <c r="Z53" s="104">
        <f>VLOOKUP(19,$A$4:$AZ$32,26,FALSE)</f>
        <v>25</v>
      </c>
      <c r="AA53" s="104">
        <f>VLOOKUP(19,$A$4:$AZ$32,27,FALSE)</f>
        <v>29</v>
      </c>
      <c r="AB53" s="104">
        <f>VLOOKUP(19,$A$4:$AZ$32,28,FALSE)</f>
        <v>35</v>
      </c>
      <c r="AC53" s="104">
        <f>VLOOKUP(19,$A$4:$AZ$32,29,FALSE)</f>
        <v>39</v>
      </c>
      <c r="AD53" s="104">
        <f>VLOOKUP(19,$A$4:$AZ$32,30,FALSE)</f>
        <v>37</v>
      </c>
      <c r="AE53" s="104">
        <f>VLOOKUP(19,$A$4:$AZ$32,31,FALSE)</f>
        <v>39</v>
      </c>
      <c r="AF53" s="104">
        <f>VLOOKUP(19,$A$4:$AZ$32,32,FALSE)</f>
        <v>41</v>
      </c>
      <c r="AG53" s="104">
        <f>VLOOKUP(19,$A$4:$AZ$32,33,FALSE)</f>
        <v>38</v>
      </c>
      <c r="AH53" s="104">
        <f>VLOOKUP(19,$A$4:$AZ$32,34,FALSE)</f>
        <v>37</v>
      </c>
      <c r="AI53" s="104">
        <f>VLOOKUP(19,$A$4:$AZ$32,35,FALSE)</f>
        <v>54</v>
      </c>
    </row>
    <row r="54" spans="1:35" ht="12.75">
      <c r="A54">
        <v>20</v>
      </c>
      <c r="B54" s="78" t="s">
        <v>96</v>
      </c>
      <c r="C54" s="104">
        <f>VLOOKUP(20,$A$4:$AZ$32,3,FALSE)</f>
        <v>0</v>
      </c>
      <c r="D54" s="104">
        <f>VLOOKUP(20,$A$4:$AZ$32,4,FALSE)</f>
        <v>0</v>
      </c>
      <c r="E54" s="104">
        <f>VLOOKUP(20,$A$4:$AZ$32,5,FALSE)</f>
        <v>0</v>
      </c>
      <c r="F54" s="104">
        <f>VLOOKUP(20,$A$4:$AZ$32,6,FALSE)</f>
        <v>0</v>
      </c>
      <c r="G54" s="104">
        <f>VLOOKUP(20,$A$4:$AZ$32,7,FALSE)</f>
        <v>0</v>
      </c>
      <c r="H54" s="104">
        <f>VLOOKUP(20,$A$4:$AZ$32,8,FALSE)</f>
        <v>0</v>
      </c>
      <c r="I54" s="104">
        <f>VLOOKUP(20,$A$4:$AZ$32,9,FALSE)</f>
        <v>0</v>
      </c>
      <c r="J54" s="104">
        <f>VLOOKUP(20,$A$4:$AZ$32,10,FALSE)</f>
        <v>0</v>
      </c>
      <c r="K54" s="104">
        <f>VLOOKUP(20,$A$4:$AZ$32,11,FALSE)</f>
        <v>0</v>
      </c>
      <c r="L54" s="104">
        <f>VLOOKUP(20,$A$4:$AZ$32,12,FALSE)</f>
        <v>0</v>
      </c>
      <c r="M54" s="104">
        <f>VLOOKUP(20,$A$4:$AZ$32,13,FALSE)</f>
        <v>0</v>
      </c>
      <c r="N54" s="104">
        <f>VLOOKUP(20,$A$4:$AZ$32,14,FALSE)</f>
        <v>0</v>
      </c>
      <c r="O54" s="104">
        <f>VLOOKUP(20,$A$4:$AZ$32,15,FALSE)</f>
        <v>0</v>
      </c>
      <c r="P54" s="104">
        <f>VLOOKUP(20,$A$4:$AZ$32,16,FALSE)</f>
        <v>0</v>
      </c>
      <c r="Q54" s="104">
        <f>VLOOKUP(20,$A$4:$AZ$32,17,FALSE)</f>
        <v>0</v>
      </c>
      <c r="R54" s="104">
        <f>VLOOKUP(20,$A$4:$AZ$32,18,FALSE)</f>
        <v>0</v>
      </c>
      <c r="S54" s="104">
        <f>VLOOKUP(20,$A$4:$AZ$32,19,FALSE)</f>
        <v>0</v>
      </c>
      <c r="T54" s="104">
        <f>VLOOKUP(20,$A$4:$AZ$32,20,FALSE)</f>
        <v>0</v>
      </c>
      <c r="U54" s="104">
        <f>VLOOKUP(20,$A$4:$AZ$32,21,FALSE)</f>
        <v>0</v>
      </c>
      <c r="V54" s="104">
        <f>VLOOKUP(20,$A$4:$AZ$32,22,FALSE)</f>
        <v>0</v>
      </c>
      <c r="W54" s="104">
        <f>VLOOKUP(20,$A$4:$AZ$32,23,FALSE)</f>
        <v>0</v>
      </c>
      <c r="X54" s="104">
        <f>VLOOKUP(20,$A$4:$AZ$32,24,FALSE)</f>
        <v>7</v>
      </c>
      <c r="Y54" s="104">
        <f>VLOOKUP(20,$A$4:$AZ$32,25,FALSE)</f>
        <v>9</v>
      </c>
      <c r="Z54" s="104">
        <f>VLOOKUP(20,$A$4:$AZ$32,26,FALSE)</f>
        <v>9</v>
      </c>
      <c r="AA54" s="104">
        <f>VLOOKUP(20,$A$4:$AZ$32,27,FALSE)</f>
        <v>23</v>
      </c>
      <c r="AB54" s="104">
        <f>VLOOKUP(20,$A$4:$AZ$32,28,FALSE)</f>
        <v>20</v>
      </c>
      <c r="AC54" s="104">
        <f>VLOOKUP(20,$A$4:$AZ$32,29,FALSE)</f>
        <v>26</v>
      </c>
      <c r="AD54" s="104">
        <f>VLOOKUP(20,$A$4:$AZ$32,30,FALSE)</f>
        <v>28</v>
      </c>
      <c r="AE54" s="104">
        <f>VLOOKUP(20,$A$4:$AZ$32,31,FALSE)</f>
        <v>31</v>
      </c>
      <c r="AF54" s="104">
        <f>VLOOKUP(20,$A$4:$AZ$32,32,FALSE)</f>
        <v>45</v>
      </c>
      <c r="AG54" s="104">
        <f>VLOOKUP(20,$A$4:$AZ$32,33,FALSE)</f>
        <v>32</v>
      </c>
      <c r="AH54" s="104">
        <f>VLOOKUP(20,$A$4:$AZ$32,34,FALSE)</f>
        <v>29</v>
      </c>
      <c r="AI54" s="104">
        <f>VLOOKUP(20,$A$4:$AZ$32,35,FALSE)</f>
        <v>37</v>
      </c>
    </row>
    <row r="55" spans="1:35" ht="12.75">
      <c r="A55">
        <v>21</v>
      </c>
      <c r="B55" s="78" t="s">
        <v>97</v>
      </c>
      <c r="C55" s="104">
        <f>VLOOKUP(21,$A$4:$AZ$32,3,FALSE)</f>
        <v>5</v>
      </c>
      <c r="D55" s="104">
        <f>VLOOKUP(21,$A$4:$AZ$32,4,FALSE)</f>
        <v>11</v>
      </c>
      <c r="E55" s="104">
        <f>VLOOKUP(21,$A$4:$AZ$32,5,FALSE)</f>
        <v>8</v>
      </c>
      <c r="F55" s="104">
        <f>VLOOKUP(21,$A$4:$AZ$32,6,FALSE)</f>
        <v>7</v>
      </c>
      <c r="G55" s="104">
        <f>VLOOKUP(21,$A$4:$AZ$32,7,FALSE)</f>
        <v>7</v>
      </c>
      <c r="H55" s="104">
        <f>VLOOKUP(21,$A$4:$AZ$32,8,FALSE)</f>
        <v>13</v>
      </c>
      <c r="I55" s="104">
        <f>VLOOKUP(21,$A$4:$AZ$32,9,FALSE)</f>
        <v>13</v>
      </c>
      <c r="J55" s="104">
        <f>VLOOKUP(21,$A$4:$AZ$32,10,FALSE)</f>
        <v>10</v>
      </c>
      <c r="K55" s="104">
        <f>VLOOKUP(21,$A$4:$AZ$32,11,FALSE)</f>
        <v>14</v>
      </c>
      <c r="L55" s="104">
        <f>VLOOKUP(21,$A$4:$AZ$32,12,FALSE)</f>
        <v>9</v>
      </c>
      <c r="M55" s="104">
        <f>VLOOKUP(21,$A$4:$AZ$32,13,FALSE)</f>
        <v>12</v>
      </c>
      <c r="N55" s="104">
        <f>VLOOKUP(21,$A$4:$AZ$32,14,FALSE)</f>
        <v>11</v>
      </c>
      <c r="O55" s="104">
        <f>VLOOKUP(21,$A$4:$AZ$32,15,FALSE)</f>
        <v>17</v>
      </c>
      <c r="P55" s="104">
        <f>VLOOKUP(21,$A$4:$AZ$32,16,FALSE)</f>
        <v>11</v>
      </c>
      <c r="Q55" s="104">
        <f>VLOOKUP(21,$A$4:$AZ$32,17,FALSE)</f>
        <v>12</v>
      </c>
      <c r="R55" s="104">
        <f>VLOOKUP(21,$A$4:$AZ$32,18,FALSE)</f>
        <v>14</v>
      </c>
      <c r="S55" s="104">
        <f>VLOOKUP(21,$A$4:$AZ$32,19,FALSE)</f>
        <v>16</v>
      </c>
      <c r="T55" s="104">
        <f>VLOOKUP(21,$A$4:$AZ$32,20,FALSE)</f>
        <v>13</v>
      </c>
      <c r="U55" s="104">
        <f>VLOOKUP(21,$A$4:$AZ$32,21,FALSE)</f>
        <v>11</v>
      </c>
      <c r="V55" s="104">
        <f>VLOOKUP(21,$A$4:$AZ$32,22,FALSE)</f>
        <v>14</v>
      </c>
      <c r="W55" s="104">
        <f>VLOOKUP(21,$A$4:$AZ$32,23,FALSE)</f>
        <v>18</v>
      </c>
      <c r="X55" s="104">
        <f>VLOOKUP(21,$A$4:$AZ$32,24,FALSE)</f>
        <v>14</v>
      </c>
      <c r="Y55" s="104">
        <f>VLOOKUP(21,$A$4:$AZ$32,25,FALSE)</f>
        <v>10</v>
      </c>
      <c r="Z55" s="104">
        <f>VLOOKUP(21,$A$4:$AZ$32,26,FALSE)</f>
        <v>12</v>
      </c>
      <c r="AA55" s="104">
        <f>VLOOKUP(21,$A$4:$AZ$32,27,FALSE)</f>
        <v>14</v>
      </c>
      <c r="AB55" s="104">
        <f>VLOOKUP(21,$A$4:$AZ$32,28,FALSE)</f>
        <v>15</v>
      </c>
      <c r="AC55" s="104">
        <f>VLOOKUP(21,$A$4:$AZ$32,29,FALSE)</f>
        <v>12</v>
      </c>
      <c r="AD55" s="104">
        <f>VLOOKUP(21,$A$4:$AZ$32,30,FALSE)</f>
        <v>18</v>
      </c>
      <c r="AE55" s="104">
        <f>VLOOKUP(21,$A$4:$AZ$32,31,FALSE)</f>
        <v>16</v>
      </c>
      <c r="AF55" s="104">
        <f>VLOOKUP(21,$A$4:$AZ$32,32,FALSE)</f>
        <v>21</v>
      </c>
      <c r="AG55" s="104">
        <f>VLOOKUP(21,$A$4:$AZ$32,33,FALSE)</f>
        <v>18</v>
      </c>
      <c r="AH55" s="104">
        <f>VLOOKUP(21,$A$4:$AZ$32,34,FALSE)</f>
        <v>12</v>
      </c>
      <c r="AI55" s="104">
        <f>VLOOKUP(21,$A$4:$AZ$32,35,FALSE)</f>
        <v>17</v>
      </c>
    </row>
    <row r="56" spans="1:35" ht="25.5">
      <c r="A56">
        <v>22</v>
      </c>
      <c r="B56" s="78" t="s">
        <v>98</v>
      </c>
      <c r="C56" s="104">
        <f>VLOOKUP(22,$A$4:$AZ$32,3,FALSE)</f>
        <v>70</v>
      </c>
      <c r="D56" s="104">
        <f>VLOOKUP(22,$A$4:$AZ$32,4,FALSE)</f>
        <v>88</v>
      </c>
      <c r="E56" s="104">
        <f>VLOOKUP(22,$A$4:$AZ$32,5,FALSE)</f>
        <v>77</v>
      </c>
      <c r="F56" s="104">
        <f>VLOOKUP(22,$A$4:$AZ$32,6,FALSE)</f>
        <v>86</v>
      </c>
      <c r="G56" s="104">
        <f>VLOOKUP(22,$A$4:$AZ$32,7,FALSE)</f>
        <v>85</v>
      </c>
      <c r="H56" s="104">
        <f>VLOOKUP(22,$A$4:$AZ$32,8,FALSE)</f>
        <v>69</v>
      </c>
      <c r="I56" s="104">
        <f>VLOOKUP(22,$A$4:$AZ$32,9,FALSE)</f>
        <v>81</v>
      </c>
      <c r="J56" s="104">
        <f>VLOOKUP(22,$A$4:$AZ$32,10,FALSE)</f>
        <v>78</v>
      </c>
      <c r="K56" s="104">
        <f>VLOOKUP(22,$A$4:$AZ$32,11,FALSE)</f>
        <v>75</v>
      </c>
      <c r="L56" s="104">
        <f>VLOOKUP(22,$A$4:$AZ$32,12,FALSE)</f>
        <v>65</v>
      </c>
      <c r="M56" s="104">
        <f>VLOOKUP(22,$A$4:$AZ$32,13,FALSE)</f>
        <v>90</v>
      </c>
      <c r="N56" s="104">
        <f>VLOOKUP(22,$A$4:$AZ$32,14,FALSE)</f>
        <v>78</v>
      </c>
      <c r="O56" s="104">
        <f>VLOOKUP(22,$A$4:$AZ$32,15,FALSE)</f>
        <v>86</v>
      </c>
      <c r="P56" s="104">
        <f>VLOOKUP(22,$A$4:$AZ$32,16,FALSE)</f>
        <v>71</v>
      </c>
      <c r="Q56" s="104">
        <f>VLOOKUP(22,$A$4:$AZ$32,17,FALSE)</f>
        <v>67</v>
      </c>
      <c r="R56" s="104">
        <f>VLOOKUP(22,$A$4:$AZ$32,18,FALSE)</f>
        <v>64</v>
      </c>
      <c r="S56" s="104">
        <f>VLOOKUP(22,$A$4:$AZ$32,19,FALSE)</f>
        <v>77</v>
      </c>
      <c r="T56" s="104">
        <f>VLOOKUP(22,$A$4:$AZ$32,20,FALSE)</f>
        <v>70</v>
      </c>
      <c r="U56" s="104">
        <f>VLOOKUP(22,$A$4:$AZ$32,21,FALSE)</f>
        <v>66</v>
      </c>
      <c r="V56" s="104">
        <f>VLOOKUP(22,$A$4:$AZ$32,22,FALSE)</f>
        <v>71</v>
      </c>
      <c r="W56" s="104">
        <f>VLOOKUP(22,$A$4:$AZ$32,23,FALSE)</f>
        <v>61</v>
      </c>
      <c r="X56" s="104">
        <f>VLOOKUP(22,$A$4:$AZ$32,24,FALSE)</f>
        <v>67</v>
      </c>
      <c r="Y56" s="104">
        <f>VLOOKUP(22,$A$4:$AZ$32,25,FALSE)</f>
        <v>67</v>
      </c>
      <c r="Z56" s="104">
        <f>VLOOKUP(22,$A$4:$AZ$32,26,FALSE)</f>
        <v>64</v>
      </c>
      <c r="AA56" s="104">
        <f>VLOOKUP(22,$A$4:$AZ$32,27,FALSE)</f>
        <v>76</v>
      </c>
      <c r="AB56" s="104">
        <f>VLOOKUP(22,$A$4:$AZ$32,28,FALSE)</f>
        <v>68</v>
      </c>
      <c r="AC56" s="104">
        <f>VLOOKUP(22,$A$4:$AZ$32,29,FALSE)</f>
        <v>63</v>
      </c>
      <c r="AD56" s="104">
        <f>VLOOKUP(22,$A$4:$AZ$32,30,FALSE)</f>
        <v>60</v>
      </c>
      <c r="AE56" s="104">
        <f>VLOOKUP(22,$A$4:$AZ$32,31,FALSE)</f>
        <v>68</v>
      </c>
      <c r="AF56" s="104">
        <f>VLOOKUP(22,$A$4:$AZ$32,32,FALSE)</f>
        <v>57</v>
      </c>
      <c r="AG56" s="104">
        <f>VLOOKUP(22,$A$4:$AZ$32,33,FALSE)</f>
        <v>70</v>
      </c>
      <c r="AH56" s="104">
        <f>VLOOKUP(22,$A$4:$AZ$32,34,FALSE)</f>
        <v>64</v>
      </c>
      <c r="AI56" s="104">
        <f>VLOOKUP(22,$A$4:$AZ$32,35,FALSE)</f>
        <v>63</v>
      </c>
    </row>
    <row r="57" spans="1:35" ht="25.5">
      <c r="A57">
        <v>23</v>
      </c>
      <c r="B57" s="78" t="s">
        <v>99</v>
      </c>
      <c r="C57" s="104">
        <f>VLOOKUP(23,$A$4:$AZ$32,3,FALSE)</f>
        <v>32</v>
      </c>
      <c r="D57" s="104">
        <f>VLOOKUP(23,$A$4:$AZ$32,4,FALSE)</f>
        <v>47</v>
      </c>
      <c r="E57" s="104">
        <f>VLOOKUP(23,$A$4:$AZ$32,5,FALSE)</f>
        <v>52</v>
      </c>
      <c r="F57" s="104">
        <f>VLOOKUP(23,$A$4:$AZ$32,6,FALSE)</f>
        <v>33</v>
      </c>
      <c r="G57" s="104">
        <f>VLOOKUP(23,$A$4:$AZ$32,7,FALSE)</f>
        <v>37</v>
      </c>
      <c r="H57" s="104">
        <f>VLOOKUP(23,$A$4:$AZ$32,8,FALSE)</f>
        <v>27</v>
      </c>
      <c r="I57" s="104">
        <f>VLOOKUP(23,$A$4:$AZ$32,9,FALSE)</f>
        <v>34</v>
      </c>
      <c r="J57" s="104">
        <f>VLOOKUP(23,$A$4:$AZ$32,10,FALSE)</f>
        <v>31</v>
      </c>
      <c r="K57" s="104">
        <f>VLOOKUP(23,$A$4:$AZ$32,11,FALSE)</f>
        <v>32</v>
      </c>
      <c r="L57" s="104">
        <f>VLOOKUP(23,$A$4:$AZ$32,12,FALSE)</f>
        <v>31</v>
      </c>
      <c r="M57" s="104">
        <f>VLOOKUP(23,$A$4:$AZ$32,13,FALSE)</f>
        <v>38</v>
      </c>
      <c r="N57" s="104">
        <f>VLOOKUP(23,$A$4:$AZ$32,14,FALSE)</f>
        <v>31</v>
      </c>
      <c r="O57" s="104">
        <f>VLOOKUP(23,$A$4:$AZ$32,15,FALSE)</f>
        <v>40</v>
      </c>
      <c r="P57" s="104">
        <f>VLOOKUP(23,$A$4:$AZ$32,16,FALSE)</f>
        <v>31</v>
      </c>
      <c r="Q57" s="104">
        <f>VLOOKUP(23,$A$4:$AZ$32,17,FALSE)</f>
        <v>27</v>
      </c>
      <c r="R57" s="104">
        <f>VLOOKUP(23,$A$4:$AZ$32,18,FALSE)</f>
        <v>31</v>
      </c>
      <c r="S57" s="104">
        <f>VLOOKUP(23,$A$4:$AZ$32,19,FALSE)</f>
        <v>35</v>
      </c>
      <c r="T57" s="104">
        <f>VLOOKUP(23,$A$4:$AZ$32,20,FALSE)</f>
        <v>33</v>
      </c>
      <c r="U57" s="104">
        <f>VLOOKUP(23,$A$4:$AZ$32,21,FALSE)</f>
        <v>33</v>
      </c>
      <c r="V57" s="104">
        <f>VLOOKUP(23,$A$4:$AZ$32,22,FALSE)</f>
        <v>40</v>
      </c>
      <c r="W57" s="104">
        <f>VLOOKUP(23,$A$4:$AZ$32,23,FALSE)</f>
        <v>35</v>
      </c>
      <c r="X57" s="104">
        <f>VLOOKUP(23,$A$4:$AZ$32,24,FALSE)</f>
        <v>33</v>
      </c>
      <c r="Y57" s="104">
        <f>VLOOKUP(23,$A$4:$AZ$32,25,FALSE)</f>
        <v>31</v>
      </c>
      <c r="Z57" s="104">
        <f>VLOOKUP(23,$A$4:$AZ$32,26,FALSE)</f>
        <v>29</v>
      </c>
      <c r="AA57" s="104">
        <f>VLOOKUP(23,$A$4:$AZ$32,27,FALSE)</f>
        <v>31</v>
      </c>
      <c r="AB57" s="104">
        <f>VLOOKUP(23,$A$4:$AZ$32,28,FALSE)</f>
        <v>26</v>
      </c>
      <c r="AC57" s="104">
        <f>VLOOKUP(23,$A$4:$AZ$32,29,FALSE)</f>
        <v>29</v>
      </c>
      <c r="AD57" s="104">
        <f>VLOOKUP(23,$A$4:$AZ$32,30,FALSE)</f>
        <v>34</v>
      </c>
      <c r="AE57" s="104">
        <f>VLOOKUP(23,$A$4:$AZ$32,31,FALSE)</f>
        <v>25</v>
      </c>
      <c r="AF57" s="104">
        <f>VLOOKUP(23,$A$4:$AZ$32,32,FALSE)</f>
        <v>36</v>
      </c>
      <c r="AG57" s="104">
        <f>VLOOKUP(23,$A$4:$AZ$32,33,FALSE)</f>
        <v>30</v>
      </c>
      <c r="AH57" s="104">
        <f>VLOOKUP(23,$A$4:$AZ$32,34,FALSE)</f>
        <v>29</v>
      </c>
      <c r="AI57" s="104">
        <f>VLOOKUP(23,$A$4:$AZ$32,35,FALSE)</f>
        <v>28</v>
      </c>
    </row>
    <row r="58" spans="1:35" ht="25.5">
      <c r="A58">
        <v>24</v>
      </c>
      <c r="B58" s="78" t="s">
        <v>100</v>
      </c>
      <c r="C58" s="104">
        <f>VLOOKUP(24,$A$4:$AZ$32,3,FALSE)</f>
        <v>16</v>
      </c>
      <c r="D58" s="104">
        <f>VLOOKUP(24,$A$4:$AZ$32,4,FALSE)</f>
        <v>14</v>
      </c>
      <c r="E58" s="104">
        <f>VLOOKUP(24,$A$4:$AZ$32,5,FALSE)</f>
        <v>11</v>
      </c>
      <c r="F58" s="104">
        <f>VLOOKUP(24,$A$4:$AZ$32,6,FALSE)</f>
        <v>14</v>
      </c>
      <c r="G58" s="104">
        <f>VLOOKUP(24,$A$4:$AZ$32,7,FALSE)</f>
        <v>16</v>
      </c>
      <c r="H58" s="104">
        <f>VLOOKUP(24,$A$4:$AZ$32,8,FALSE)</f>
        <v>19</v>
      </c>
      <c r="I58" s="104">
        <f>VLOOKUP(24,$A$4:$AZ$32,9,FALSE)</f>
        <v>17</v>
      </c>
      <c r="J58" s="104">
        <f>VLOOKUP(24,$A$4:$AZ$32,10,FALSE)</f>
        <v>15</v>
      </c>
      <c r="K58" s="104">
        <f>VLOOKUP(24,$A$4:$AZ$32,11,FALSE)</f>
        <v>19</v>
      </c>
      <c r="L58" s="104">
        <f>VLOOKUP(24,$A$4:$AZ$32,12,FALSE)</f>
        <v>19</v>
      </c>
      <c r="M58" s="104">
        <f>VLOOKUP(24,$A$4:$AZ$32,13,FALSE)</f>
        <v>15</v>
      </c>
      <c r="N58" s="104">
        <f>VLOOKUP(24,$A$4:$AZ$32,14,FALSE)</f>
        <v>15</v>
      </c>
      <c r="O58" s="104">
        <f>VLOOKUP(24,$A$4:$AZ$32,15,FALSE)</f>
        <v>12</v>
      </c>
      <c r="P58" s="104">
        <f>VLOOKUP(24,$A$4:$AZ$32,16,FALSE)</f>
        <v>13</v>
      </c>
      <c r="Q58" s="104">
        <f>VLOOKUP(24,$A$4:$AZ$32,17,FALSE)</f>
        <v>13</v>
      </c>
      <c r="R58" s="104">
        <f>VLOOKUP(24,$A$4:$AZ$32,18,FALSE)</f>
        <v>13</v>
      </c>
      <c r="S58" s="104">
        <f>VLOOKUP(24,$A$4:$AZ$32,19,FALSE)</f>
        <v>18</v>
      </c>
      <c r="T58" s="104">
        <f>VLOOKUP(24,$A$4:$AZ$32,20,FALSE)</f>
        <v>14</v>
      </c>
      <c r="U58" s="104">
        <f>VLOOKUP(24,$A$4:$AZ$32,21,FALSE)</f>
        <v>18</v>
      </c>
      <c r="V58" s="104">
        <f>VLOOKUP(24,$A$4:$AZ$32,22,FALSE)</f>
        <v>15</v>
      </c>
      <c r="W58" s="104">
        <f>VLOOKUP(24,$A$4:$AZ$32,23,FALSE)</f>
        <v>17</v>
      </c>
      <c r="X58" s="104">
        <f>VLOOKUP(24,$A$4:$AZ$32,24,FALSE)</f>
        <v>13</v>
      </c>
      <c r="Y58" s="104">
        <f>VLOOKUP(24,$A$4:$AZ$32,25,FALSE)</f>
        <v>16</v>
      </c>
      <c r="Z58" s="104">
        <f>VLOOKUP(24,$A$4:$AZ$32,26,FALSE)</f>
        <v>15</v>
      </c>
      <c r="AA58" s="104">
        <f>VLOOKUP(24,$A$4:$AZ$32,27,FALSE)</f>
        <v>21</v>
      </c>
      <c r="AB58" s="104">
        <f>VLOOKUP(24,$A$4:$AZ$32,28,FALSE)</f>
        <v>17</v>
      </c>
      <c r="AC58" s="104">
        <f>VLOOKUP(24,$A$4:$AZ$32,29,FALSE)</f>
        <v>19</v>
      </c>
      <c r="AD58" s="104">
        <f>VLOOKUP(24,$A$4:$AZ$32,30,FALSE)</f>
        <v>17</v>
      </c>
      <c r="AE58" s="104">
        <f>VLOOKUP(24,$A$4:$AZ$32,31,FALSE)</f>
        <v>20</v>
      </c>
      <c r="AF58" s="104">
        <f>VLOOKUP(24,$A$4:$AZ$32,32,FALSE)</f>
        <v>15</v>
      </c>
      <c r="AG58" s="104">
        <f>VLOOKUP(24,$A$4:$AZ$32,33,FALSE)</f>
        <v>13</v>
      </c>
      <c r="AH58" s="104">
        <f>VLOOKUP(24,$A$4:$AZ$32,34,FALSE)</f>
        <v>17</v>
      </c>
      <c r="AI58" s="104">
        <f>VLOOKUP(24,$A$4:$AZ$32,35,FALSE)</f>
        <v>22</v>
      </c>
    </row>
    <row r="59" spans="1:35" ht="25.5">
      <c r="A59">
        <v>25</v>
      </c>
      <c r="B59" s="78" t="s">
        <v>101</v>
      </c>
      <c r="C59" s="104">
        <f>VLOOKUP(25,$A$4:$AZ$32,3,FALSE)</f>
        <v>0</v>
      </c>
      <c r="D59" s="104">
        <f>VLOOKUP(25,$A$4:$AZ$32,4,FALSE)</f>
        <v>0</v>
      </c>
      <c r="E59" s="104">
        <f>VLOOKUP(25,$A$4:$AZ$32,5,FALSE)</f>
        <v>0</v>
      </c>
      <c r="F59" s="104">
        <f>VLOOKUP(25,$A$4:$AZ$32,6,FALSE)</f>
        <v>0</v>
      </c>
      <c r="G59" s="104">
        <f>VLOOKUP(25,$A$4:$AZ$32,7,FALSE)</f>
        <v>0</v>
      </c>
      <c r="H59" s="104">
        <f>VLOOKUP(25,$A$4:$AZ$32,8,FALSE)</f>
        <v>0</v>
      </c>
      <c r="I59" s="104">
        <f>VLOOKUP(25,$A$4:$AZ$32,9,FALSE)</f>
        <v>0</v>
      </c>
      <c r="J59" s="104">
        <f>VLOOKUP(25,$A$4:$AZ$32,10,FALSE)</f>
        <v>0</v>
      </c>
      <c r="K59" s="104">
        <f>VLOOKUP(25,$A$4:$AZ$32,11,FALSE)</f>
        <v>0</v>
      </c>
      <c r="L59" s="104">
        <f>VLOOKUP(25,$A$4:$AZ$32,12,FALSE)</f>
        <v>0</v>
      </c>
      <c r="M59" s="104">
        <f>VLOOKUP(25,$A$4:$AZ$32,13,FALSE)</f>
        <v>0</v>
      </c>
      <c r="N59" s="104">
        <f>VLOOKUP(25,$A$4:$AZ$32,14,FALSE)</f>
        <v>0</v>
      </c>
      <c r="O59" s="104">
        <f>VLOOKUP(25,$A$4:$AZ$32,15,FALSE)</f>
        <v>0</v>
      </c>
      <c r="P59" s="104">
        <f>VLOOKUP(25,$A$4:$AZ$32,16,FALSE)</f>
        <v>0</v>
      </c>
      <c r="Q59" s="104">
        <f>VLOOKUP(25,$A$4:$AZ$32,17,FALSE)</f>
        <v>0</v>
      </c>
      <c r="R59" s="104">
        <f>VLOOKUP(25,$A$4:$AZ$32,18,FALSE)</f>
        <v>0</v>
      </c>
      <c r="S59" s="104">
        <f>VLOOKUP(25,$A$4:$AZ$32,19,FALSE)</f>
        <v>0</v>
      </c>
      <c r="T59" s="104">
        <f>VLOOKUP(25,$A$4:$AZ$32,20,FALSE)</f>
        <v>0</v>
      </c>
      <c r="U59" s="104">
        <f>VLOOKUP(25,$A$4:$AZ$32,21,FALSE)</f>
        <v>0</v>
      </c>
      <c r="V59" s="104">
        <f>VLOOKUP(25,$A$4:$AZ$32,22,FALSE)</f>
        <v>0</v>
      </c>
      <c r="W59" s="104">
        <f>VLOOKUP(25,$A$4:$AZ$32,23,FALSE)</f>
        <v>0</v>
      </c>
      <c r="X59" s="104">
        <f>VLOOKUP(25,$A$4:$AZ$32,24,FALSE)</f>
        <v>0</v>
      </c>
      <c r="Y59" s="104">
        <f>VLOOKUP(25,$A$4:$AZ$32,25,FALSE)</f>
        <v>47</v>
      </c>
      <c r="Z59" s="104">
        <f>VLOOKUP(25,$A$4:$AZ$32,26,FALSE)</f>
        <v>92</v>
      </c>
      <c r="AA59" s="104">
        <f>VLOOKUP(25,$A$4:$AZ$32,27,FALSE)</f>
        <v>157</v>
      </c>
      <c r="AB59" s="104">
        <f>VLOOKUP(25,$A$4:$AZ$32,28,FALSE)</f>
        <v>200</v>
      </c>
      <c r="AC59" s="104">
        <f>VLOOKUP(25,$A$4:$AZ$32,29,FALSE)</f>
        <v>209</v>
      </c>
      <c r="AD59" s="104">
        <f>VLOOKUP(25,$A$4:$AZ$32,30,FALSE)</f>
        <v>252</v>
      </c>
      <c r="AE59" s="104">
        <f>VLOOKUP(25,$A$4:$AZ$32,31,FALSE)</f>
        <v>245</v>
      </c>
      <c r="AF59" s="104">
        <f>VLOOKUP(25,$A$4:$AZ$32,32,FALSE)</f>
        <v>273</v>
      </c>
      <c r="AG59" s="104">
        <f>VLOOKUP(25,$A$4:$AZ$32,33,FALSE)</f>
        <v>271</v>
      </c>
      <c r="AH59" s="104">
        <f>VLOOKUP(25,$A$4:$AZ$32,34,FALSE)</f>
        <v>284</v>
      </c>
      <c r="AI59" s="104">
        <f>VLOOKUP(25,$A$4:$AZ$32,35,FALSE)</f>
        <v>323</v>
      </c>
    </row>
    <row r="60" spans="1:35" ht="25.5">
      <c r="A60">
        <v>26</v>
      </c>
      <c r="B60" s="78" t="s">
        <v>102</v>
      </c>
      <c r="C60" s="104">
        <f>VLOOKUP(26,$A$4:$AZ$32,3,FALSE)</f>
        <v>457</v>
      </c>
      <c r="D60" s="104">
        <f>VLOOKUP(26,$A$4:$AZ$32,4,FALSE)</f>
        <v>565</v>
      </c>
      <c r="E60" s="104">
        <f>VLOOKUP(26,$A$4:$AZ$32,5,FALSE)</f>
        <v>505</v>
      </c>
      <c r="F60" s="104">
        <f>VLOOKUP(26,$A$4:$AZ$32,6,FALSE)</f>
        <v>531</v>
      </c>
      <c r="G60" s="104">
        <f>VLOOKUP(26,$A$4:$AZ$32,7,FALSE)</f>
        <v>523</v>
      </c>
      <c r="H60" s="104">
        <f>VLOOKUP(26,$A$4:$AZ$32,8,FALSE)</f>
        <v>524</v>
      </c>
      <c r="I60" s="104">
        <f>VLOOKUP(26,$A$4:$AZ$32,9,FALSE)</f>
        <v>601</v>
      </c>
      <c r="J60" s="104">
        <f>VLOOKUP(26,$A$4:$AZ$32,10,FALSE)</f>
        <v>576</v>
      </c>
      <c r="K60" s="104">
        <f>VLOOKUP(26,$A$4:$AZ$32,11,FALSE)</f>
        <v>579</v>
      </c>
      <c r="L60" s="104">
        <f>VLOOKUP(26,$A$4:$AZ$32,12,FALSE)</f>
        <v>556</v>
      </c>
      <c r="M60" s="104">
        <f>VLOOKUP(26,$A$4:$AZ$32,13,FALSE)</f>
        <v>634</v>
      </c>
      <c r="N60" s="104">
        <f>VLOOKUP(26,$A$4:$AZ$32,14,FALSE)</f>
        <v>604</v>
      </c>
      <c r="O60" s="104">
        <f>VLOOKUP(26,$A$4:$AZ$32,15,FALSE)</f>
        <v>623</v>
      </c>
      <c r="P60" s="104">
        <f>VLOOKUP(26,$A$4:$AZ$32,16,FALSE)</f>
        <v>594</v>
      </c>
      <c r="Q60" s="104">
        <f>VLOOKUP(26,$A$4:$AZ$32,17,FALSE)</f>
        <v>571</v>
      </c>
      <c r="R60" s="104">
        <f>VLOOKUP(26,$A$4:$AZ$32,18,FALSE)</f>
        <v>601</v>
      </c>
      <c r="S60" s="104">
        <f>VLOOKUP(26,$A$4:$AZ$32,19,FALSE)</f>
        <v>590</v>
      </c>
      <c r="T60" s="104">
        <f>VLOOKUP(26,$A$4:$AZ$32,20,FALSE)</f>
        <v>566</v>
      </c>
      <c r="U60" s="104">
        <f>VLOOKUP(26,$A$4:$AZ$32,21,FALSE)</f>
        <v>626</v>
      </c>
      <c r="V60" s="104">
        <f>VLOOKUP(26,$A$4:$AZ$32,22,FALSE)</f>
        <v>582</v>
      </c>
      <c r="W60" s="104">
        <f>VLOOKUP(26,$A$4:$AZ$32,23,FALSE)</f>
        <v>574</v>
      </c>
      <c r="X60" s="104">
        <f>VLOOKUP(26,$A$4:$AZ$32,24,FALSE)</f>
        <v>512</v>
      </c>
      <c r="Y60" s="104">
        <f>VLOOKUP(26,$A$4:$AZ$32,25,FALSE)</f>
        <v>566</v>
      </c>
      <c r="Z60" s="104">
        <f>VLOOKUP(26,$A$4:$AZ$32,26,FALSE)</f>
        <v>422</v>
      </c>
      <c r="AA60" s="104">
        <f>VLOOKUP(26,$A$4:$AZ$32,27,FALSE)</f>
        <v>461</v>
      </c>
      <c r="AB60" s="104">
        <f>VLOOKUP(26,$A$4:$AZ$32,28,FALSE)</f>
        <v>408</v>
      </c>
      <c r="AC60" s="104">
        <f>VLOOKUP(26,$A$4:$AZ$32,29,FALSE)</f>
        <v>337</v>
      </c>
      <c r="AD60" s="104">
        <f>VLOOKUP(26,$A$4:$AZ$32,30,FALSE)</f>
        <v>376</v>
      </c>
      <c r="AE60" s="104">
        <f>VLOOKUP(26,$A$4:$AZ$32,31,FALSE)</f>
        <v>333</v>
      </c>
      <c r="AF60" s="104">
        <f>VLOOKUP(26,$A$4:$AZ$32,32,FALSE)</f>
        <v>346</v>
      </c>
      <c r="AG60" s="104">
        <f>VLOOKUP(26,$A$4:$AZ$32,33,FALSE)</f>
        <v>316</v>
      </c>
      <c r="AH60" s="104">
        <f>VLOOKUP(26,$A$4:$AZ$32,34,FALSE)</f>
        <v>279</v>
      </c>
      <c r="AI60" s="104">
        <f>VLOOKUP(26,$A$4:$AZ$32,35,FALSE)</f>
        <v>317</v>
      </c>
    </row>
    <row r="61" spans="1:35" ht="25.5">
      <c r="A61">
        <v>27</v>
      </c>
      <c r="B61" s="78" t="s">
        <v>103</v>
      </c>
      <c r="C61" s="104">
        <f>VLOOKUP(27,$A$4:$AZ$32,3,FALSE)</f>
        <v>347</v>
      </c>
      <c r="D61" s="104">
        <f>VLOOKUP(27,$A$4:$AZ$32,4,FALSE)</f>
        <v>413</v>
      </c>
      <c r="E61" s="104">
        <f>VLOOKUP(27,$A$4:$AZ$32,5,FALSE)</f>
        <v>360</v>
      </c>
      <c r="F61" s="104">
        <f>VLOOKUP(27,$A$4:$AZ$32,6,FALSE)</f>
        <v>378</v>
      </c>
      <c r="G61" s="104">
        <f>VLOOKUP(27,$A$4:$AZ$32,7,FALSE)</f>
        <v>374</v>
      </c>
      <c r="H61" s="104">
        <f>VLOOKUP(27,$A$4:$AZ$32,8,FALSE)</f>
        <v>385</v>
      </c>
      <c r="I61" s="104">
        <f>VLOOKUP(27,$A$4:$AZ$32,9,FALSE)</f>
        <v>401</v>
      </c>
      <c r="J61" s="104">
        <f>VLOOKUP(27,$A$4:$AZ$32,10,FALSE)</f>
        <v>388</v>
      </c>
      <c r="K61" s="104">
        <f>VLOOKUP(27,$A$4:$AZ$32,11,FALSE)</f>
        <v>341</v>
      </c>
      <c r="L61" s="104">
        <f>VLOOKUP(27,$A$4:$AZ$32,12,FALSE)</f>
        <v>308</v>
      </c>
      <c r="M61" s="104">
        <f>VLOOKUP(27,$A$4:$AZ$32,13,FALSE)</f>
        <v>402</v>
      </c>
      <c r="N61" s="104">
        <f>VLOOKUP(27,$A$4:$AZ$32,14,FALSE)</f>
        <v>362</v>
      </c>
      <c r="O61" s="104">
        <f>VLOOKUP(27,$A$4:$AZ$32,15,FALSE)</f>
        <v>362</v>
      </c>
      <c r="P61" s="104">
        <f>VLOOKUP(27,$A$4:$AZ$32,16,FALSE)</f>
        <v>369</v>
      </c>
      <c r="Q61" s="104">
        <f>VLOOKUP(27,$A$4:$AZ$32,17,FALSE)</f>
        <v>342</v>
      </c>
      <c r="R61" s="104">
        <f>VLOOKUP(27,$A$4:$AZ$32,18,FALSE)</f>
        <v>372</v>
      </c>
      <c r="S61" s="104">
        <f>VLOOKUP(27,$A$4:$AZ$32,19,FALSE)</f>
        <v>381</v>
      </c>
      <c r="T61" s="104">
        <f>VLOOKUP(27,$A$4:$AZ$32,20,FALSE)</f>
        <v>368</v>
      </c>
      <c r="U61" s="104">
        <f>VLOOKUP(27,$A$4:$AZ$32,21,FALSE)</f>
        <v>352</v>
      </c>
      <c r="V61" s="104">
        <f>VLOOKUP(27,$A$4:$AZ$32,22,FALSE)</f>
        <v>382</v>
      </c>
      <c r="W61" s="104">
        <f>VLOOKUP(27,$A$4:$AZ$32,23,FALSE)</f>
        <v>347</v>
      </c>
      <c r="X61" s="104">
        <f>VLOOKUP(27,$A$4:$AZ$32,24,FALSE)</f>
        <v>351</v>
      </c>
      <c r="Y61" s="104">
        <f>VLOOKUP(27,$A$4:$AZ$32,25,FALSE)</f>
        <v>349</v>
      </c>
      <c r="Z61" s="104">
        <f>VLOOKUP(27,$A$4:$AZ$32,26,FALSE)</f>
        <v>312</v>
      </c>
      <c r="AA61" s="104">
        <f>VLOOKUP(27,$A$4:$AZ$32,27,FALSE)</f>
        <v>353</v>
      </c>
      <c r="AB61" s="104">
        <f>VLOOKUP(27,$A$4:$AZ$32,28,FALSE)</f>
        <v>330</v>
      </c>
      <c r="AC61" s="104">
        <f>VLOOKUP(27,$A$4:$AZ$32,29,FALSE)</f>
        <v>291</v>
      </c>
      <c r="AD61" s="104">
        <f>VLOOKUP(27,$A$4:$AZ$32,30,FALSE)</f>
        <v>310</v>
      </c>
      <c r="AE61" s="104">
        <f>VLOOKUP(27,$A$4:$AZ$32,31,FALSE)</f>
        <v>316</v>
      </c>
      <c r="AF61" s="104">
        <f>VLOOKUP(27,$A$4:$AZ$32,32,FALSE)</f>
        <v>360</v>
      </c>
      <c r="AG61" s="104">
        <f>VLOOKUP(27,$A$4:$AZ$32,33,FALSE)</f>
        <v>311</v>
      </c>
      <c r="AH61" s="104">
        <f>VLOOKUP(27,$A$4:$AZ$32,34,FALSE)</f>
        <v>297</v>
      </c>
      <c r="AI61" s="104">
        <f>VLOOKUP(27,$A$4:$AZ$32,35,FALSE)</f>
        <v>320</v>
      </c>
    </row>
    <row r="62" spans="1:35" ht="25.5">
      <c r="A62">
        <v>28</v>
      </c>
      <c r="B62" s="78" t="s">
        <v>104</v>
      </c>
      <c r="C62" s="104">
        <f>VLOOKUP(28,$A$4:$AZ$32,3,FALSE)</f>
        <v>119</v>
      </c>
      <c r="D62" s="104">
        <f>VLOOKUP(28,$A$4:$AZ$32,4,FALSE)</f>
        <v>164</v>
      </c>
      <c r="E62" s="104">
        <f>VLOOKUP(28,$A$4:$AZ$32,5,FALSE)</f>
        <v>149</v>
      </c>
      <c r="F62" s="104">
        <f>VLOOKUP(28,$A$4:$AZ$32,6,FALSE)</f>
        <v>116</v>
      </c>
      <c r="G62" s="104">
        <f>VLOOKUP(28,$A$4:$AZ$32,7,FALSE)</f>
        <v>135</v>
      </c>
      <c r="H62" s="104">
        <f>VLOOKUP(28,$A$4:$AZ$32,8,FALSE)</f>
        <v>125</v>
      </c>
      <c r="I62" s="104">
        <f>VLOOKUP(28,$A$4:$AZ$32,9,FALSE)</f>
        <v>128</v>
      </c>
      <c r="J62" s="104">
        <f>VLOOKUP(28,$A$4:$AZ$32,10,FALSE)</f>
        <v>140</v>
      </c>
      <c r="K62" s="104">
        <f>VLOOKUP(28,$A$4:$AZ$32,11,FALSE)</f>
        <v>121</v>
      </c>
      <c r="L62" s="104">
        <f>VLOOKUP(28,$A$4:$AZ$32,12,FALSE)</f>
        <v>121</v>
      </c>
      <c r="M62" s="104">
        <f>VLOOKUP(28,$A$4:$AZ$32,13,FALSE)</f>
        <v>132</v>
      </c>
      <c r="N62" s="104">
        <f>VLOOKUP(28,$A$4:$AZ$32,14,FALSE)</f>
        <v>109</v>
      </c>
      <c r="O62" s="104">
        <f>VLOOKUP(28,$A$4:$AZ$32,15,FALSE)</f>
        <v>135</v>
      </c>
      <c r="P62" s="104">
        <f>VLOOKUP(28,$A$4:$AZ$32,16,FALSE)</f>
        <v>118</v>
      </c>
      <c r="Q62" s="104">
        <f>VLOOKUP(28,$A$4:$AZ$32,17,FALSE)</f>
        <v>110</v>
      </c>
      <c r="R62" s="104">
        <f>VLOOKUP(28,$A$4:$AZ$32,18,FALSE)</f>
        <v>125</v>
      </c>
      <c r="S62" s="104">
        <f>VLOOKUP(28,$A$4:$AZ$32,19,FALSE)</f>
        <v>132</v>
      </c>
      <c r="T62" s="104">
        <f>VLOOKUP(28,$A$4:$AZ$32,20,FALSE)</f>
        <v>133</v>
      </c>
      <c r="U62" s="104">
        <f>VLOOKUP(28,$A$4:$AZ$32,21,FALSE)</f>
        <v>119</v>
      </c>
      <c r="V62" s="104">
        <f>VLOOKUP(28,$A$4:$AZ$32,22,FALSE)</f>
        <v>129</v>
      </c>
      <c r="W62" s="104">
        <f>VLOOKUP(28,$A$4:$AZ$32,23,FALSE)</f>
        <v>130</v>
      </c>
      <c r="X62" s="104">
        <f>VLOOKUP(28,$A$4:$AZ$32,24,FALSE)</f>
        <v>112</v>
      </c>
      <c r="Y62" s="104">
        <f>VLOOKUP(28,$A$4:$AZ$32,25,FALSE)</f>
        <v>130</v>
      </c>
      <c r="Z62" s="104">
        <f>VLOOKUP(28,$A$4:$AZ$32,26,FALSE)</f>
        <v>109</v>
      </c>
      <c r="AA62" s="104">
        <f>VLOOKUP(28,$A$4:$AZ$32,27,FALSE)</f>
        <v>112</v>
      </c>
      <c r="AB62" s="104">
        <f>VLOOKUP(28,$A$4:$AZ$32,28,FALSE)</f>
        <v>116</v>
      </c>
      <c r="AC62" s="104">
        <f>VLOOKUP(28,$A$4:$AZ$32,29,FALSE)</f>
        <v>99</v>
      </c>
      <c r="AD62" s="104">
        <f>VLOOKUP(28,$A$4:$AZ$32,30,FALSE)</f>
        <v>117</v>
      </c>
      <c r="AE62" s="104">
        <f>VLOOKUP(28,$A$4:$AZ$32,31,FALSE)</f>
        <v>106</v>
      </c>
      <c r="AF62" s="104">
        <f>VLOOKUP(28,$A$4:$AZ$32,32,FALSE)</f>
        <v>121</v>
      </c>
      <c r="AG62" s="104">
        <f>VLOOKUP(28,$A$4:$AZ$32,33,FALSE)</f>
        <v>108</v>
      </c>
      <c r="AH62" s="104">
        <f>VLOOKUP(28,$A$4:$AZ$32,34,FALSE)</f>
        <v>89</v>
      </c>
      <c r="AI62" s="104">
        <f>VLOOKUP(28,$A$4:$AZ$32,35,FALSE)</f>
        <v>114</v>
      </c>
    </row>
    <row r="63" spans="1:35" ht="12.75">
      <c r="A63">
        <v>29</v>
      </c>
      <c r="B63" s="78" t="s">
        <v>107</v>
      </c>
      <c r="C63" s="104">
        <f>VLOOKUP(29,$A$4:$AZ$32,3,FALSE)</f>
        <v>0</v>
      </c>
      <c r="D63" s="104">
        <f>VLOOKUP(29,$A$4:$AZ$32,4,FALSE)</f>
        <v>0</v>
      </c>
      <c r="E63" s="104">
        <f>VLOOKUP(29,$A$4:$AZ$32,5,FALSE)</f>
        <v>0</v>
      </c>
      <c r="F63" s="104">
        <f>VLOOKUP(29,$A$4:$AZ$32,6,FALSE)</f>
        <v>0</v>
      </c>
      <c r="G63" s="104">
        <f>VLOOKUP(29,$A$4:$AZ$32,7,FALSE)</f>
        <v>0</v>
      </c>
      <c r="H63" s="104">
        <f>VLOOKUP(29,$A$4:$AZ$32,8,FALSE)</f>
        <v>0</v>
      </c>
      <c r="I63" s="104">
        <f>VLOOKUP(29,$A$4:$AZ$32,9,FALSE)</f>
        <v>0</v>
      </c>
      <c r="J63" s="104">
        <f>VLOOKUP(29,$A$4:$AZ$32,10,FALSE)</f>
        <v>0</v>
      </c>
      <c r="K63" s="104">
        <f>VLOOKUP(29,$A$4:$AZ$32,11,FALSE)</f>
        <v>0</v>
      </c>
      <c r="L63" s="104">
        <f>VLOOKUP(29,$A$4:$AZ$32,12,FALSE)</f>
        <v>0</v>
      </c>
      <c r="M63" s="104">
        <f>VLOOKUP(29,$A$4:$AZ$32,13,FALSE)</f>
        <v>0</v>
      </c>
      <c r="N63" s="104">
        <f>VLOOKUP(29,$A$4:$AZ$32,14,FALSE)</f>
        <v>0</v>
      </c>
      <c r="O63" s="104">
        <f>VLOOKUP(29,$A$4:$AZ$32,15,FALSE)</f>
        <v>0</v>
      </c>
      <c r="P63" s="104">
        <f>VLOOKUP(29,$A$4:$AZ$32,16,FALSE)</f>
        <v>0</v>
      </c>
      <c r="Q63" s="104">
        <f>VLOOKUP(29,$A$4:$AZ$32,17,FALSE)</f>
        <v>0</v>
      </c>
      <c r="R63" s="104">
        <f>VLOOKUP(29,$A$4:$AZ$32,18,FALSE)</f>
        <v>0</v>
      </c>
      <c r="S63" s="104">
        <f>VLOOKUP(29,$A$4:$AZ$32,19,FALSE)</f>
        <v>0</v>
      </c>
      <c r="T63" s="104">
        <f>VLOOKUP(29,$A$4:$AZ$32,20,FALSE)</f>
        <v>0</v>
      </c>
      <c r="U63" s="104">
        <f>VLOOKUP(29,$A$4:$AZ$32,21,FALSE)</f>
        <v>0</v>
      </c>
      <c r="V63" s="104">
        <f>VLOOKUP(29,$A$4:$AZ$32,22,FALSE)</f>
        <v>0</v>
      </c>
      <c r="W63" s="104">
        <f>VLOOKUP(29,$A$4:$AZ$32,23,FALSE)</f>
        <v>0</v>
      </c>
      <c r="X63" s="104">
        <f>VLOOKUP(29,$A$4:$AZ$32,24,FALSE)</f>
        <v>0</v>
      </c>
      <c r="Y63" s="104">
        <f>VLOOKUP(29,$A$4:$AZ$32,25,FALSE)</f>
        <v>0</v>
      </c>
      <c r="Z63" s="104">
        <f>VLOOKUP(29,$A$4:$AZ$32,26,FALSE)</f>
        <v>0</v>
      </c>
      <c r="AA63" s="104">
        <f>VLOOKUP(29,$A$4:$AZ$32,27,FALSE)</f>
        <v>0</v>
      </c>
      <c r="AB63" s="104">
        <f>VLOOKUP(29,$A$4:$AZ$32,28,FALSE)</f>
        <v>0</v>
      </c>
      <c r="AC63" s="104">
        <f>VLOOKUP(29,$A$4:$AZ$32,29,FALSE)</f>
        <v>0</v>
      </c>
      <c r="AD63" s="104">
        <f>VLOOKUP(29,$A$4:$AZ$32,30,FALSE)</f>
        <v>0</v>
      </c>
      <c r="AE63" s="104">
        <f>VLOOKUP(29,$A$4:$AZ$32,31,FALSE)</f>
        <v>0</v>
      </c>
      <c r="AF63" s="104">
        <f>VLOOKUP(29,$A$4:$AZ$32,32,FALSE)</f>
        <v>0</v>
      </c>
      <c r="AG63" s="104">
        <f>VLOOKUP(29,$A$4:$AZ$32,33,FALSE)</f>
        <v>0</v>
      </c>
      <c r="AH63" s="104">
        <f>VLOOKUP(29,$A$4:$AZ$32,34,FALSE)</f>
        <v>0</v>
      </c>
      <c r="AI63" s="104">
        <f>VLOOKUP(29,$A$4:$AZ$32,35,FALSE)</f>
        <v>5</v>
      </c>
    </row>
    <row r="64" spans="2:24" ht="12.75">
      <c r="B64" s="44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</row>
    <row r="65" spans="2:35" ht="13.5" thickBot="1">
      <c r="B65" s="9" t="s">
        <v>0</v>
      </c>
      <c r="C65" s="12">
        <v>38108</v>
      </c>
      <c r="D65" s="12">
        <v>38139</v>
      </c>
      <c r="E65" s="12">
        <v>38169</v>
      </c>
      <c r="F65" s="12">
        <v>38200</v>
      </c>
      <c r="G65" s="12">
        <v>38231</v>
      </c>
      <c r="H65" s="12">
        <v>38261</v>
      </c>
      <c r="I65" s="12">
        <v>38292</v>
      </c>
      <c r="J65" s="12">
        <v>38322</v>
      </c>
      <c r="K65" s="12">
        <v>38353</v>
      </c>
      <c r="L65" s="12">
        <v>38384</v>
      </c>
      <c r="M65" s="12">
        <v>38412</v>
      </c>
      <c r="N65" s="12">
        <v>38443</v>
      </c>
      <c r="O65" s="12">
        <v>38473</v>
      </c>
      <c r="P65" s="12">
        <v>38504</v>
      </c>
      <c r="Q65" s="12">
        <v>38534</v>
      </c>
      <c r="R65" s="12">
        <v>38565</v>
      </c>
      <c r="S65" s="12">
        <v>38596</v>
      </c>
      <c r="T65" s="12">
        <v>38626</v>
      </c>
      <c r="U65" s="12">
        <v>38657</v>
      </c>
      <c r="V65" s="12">
        <v>38687</v>
      </c>
      <c r="W65" s="12">
        <v>38718</v>
      </c>
      <c r="X65" s="12">
        <v>38749</v>
      </c>
      <c r="Y65" s="12">
        <v>38777</v>
      </c>
      <c r="Z65" s="12">
        <v>38808</v>
      </c>
      <c r="AA65" s="12">
        <v>38838</v>
      </c>
      <c r="AB65" s="12">
        <v>38869</v>
      </c>
      <c r="AC65" s="12">
        <v>38899</v>
      </c>
      <c r="AD65" s="12">
        <v>38930</v>
      </c>
      <c r="AE65" s="12">
        <v>38961</v>
      </c>
      <c r="AF65" s="12">
        <v>38991</v>
      </c>
      <c r="AG65" s="12">
        <v>39022</v>
      </c>
      <c r="AH65" s="12">
        <v>39052</v>
      </c>
      <c r="AI65" s="12">
        <v>39083</v>
      </c>
    </row>
    <row r="66" spans="2:35" ht="13.5" thickTop="1">
      <c r="B66" s="99" t="s">
        <v>1</v>
      </c>
      <c r="C66" s="100">
        <f aca="true" t="shared" si="0" ref="C66:AI73">IF(ISERROR(C35),0,C35)</f>
        <v>0</v>
      </c>
      <c r="D66" s="100">
        <f t="shared" si="0"/>
        <v>0</v>
      </c>
      <c r="E66" s="100">
        <f t="shared" si="0"/>
        <v>0</v>
      </c>
      <c r="F66" s="100">
        <f t="shared" si="0"/>
        <v>0</v>
      </c>
      <c r="G66" s="100">
        <f t="shared" si="0"/>
        <v>0</v>
      </c>
      <c r="H66" s="100">
        <f t="shared" si="0"/>
        <v>0</v>
      </c>
      <c r="I66" s="100">
        <f t="shared" si="0"/>
        <v>0</v>
      </c>
      <c r="J66" s="100">
        <f t="shared" si="0"/>
        <v>0</v>
      </c>
      <c r="K66" s="100">
        <f t="shared" si="0"/>
        <v>0</v>
      </c>
      <c r="L66" s="100">
        <f t="shared" si="0"/>
        <v>0</v>
      </c>
      <c r="M66" s="100">
        <f t="shared" si="0"/>
        <v>0</v>
      </c>
      <c r="N66" s="100">
        <f t="shared" si="0"/>
        <v>0</v>
      </c>
      <c r="O66" s="100">
        <f t="shared" si="0"/>
        <v>0</v>
      </c>
      <c r="P66" s="100">
        <f t="shared" si="0"/>
        <v>0</v>
      </c>
      <c r="Q66" s="100">
        <f t="shared" si="0"/>
        <v>0</v>
      </c>
      <c r="R66" s="100">
        <f t="shared" si="0"/>
        <v>0</v>
      </c>
      <c r="S66" s="100">
        <f t="shared" si="0"/>
        <v>0</v>
      </c>
      <c r="T66" s="100">
        <f t="shared" si="0"/>
        <v>0</v>
      </c>
      <c r="U66" s="100">
        <f t="shared" si="0"/>
        <v>0</v>
      </c>
      <c r="V66" s="100">
        <f t="shared" si="0"/>
        <v>2</v>
      </c>
      <c r="W66" s="100">
        <f t="shared" si="0"/>
        <v>4</v>
      </c>
      <c r="X66" s="100">
        <f t="shared" si="0"/>
        <v>1</v>
      </c>
      <c r="Y66" s="100">
        <f t="shared" si="0"/>
        <v>6</v>
      </c>
      <c r="Z66" s="100">
        <f t="shared" si="0"/>
        <v>6</v>
      </c>
      <c r="AA66" s="100">
        <f t="shared" si="0"/>
        <v>6</v>
      </c>
      <c r="AB66" s="100">
        <f t="shared" si="0"/>
        <v>7</v>
      </c>
      <c r="AC66" s="100">
        <f t="shared" si="0"/>
        <v>7</v>
      </c>
      <c r="AD66" s="100">
        <f t="shared" si="0"/>
        <v>9</v>
      </c>
      <c r="AE66" s="100">
        <f t="shared" si="0"/>
        <v>9</v>
      </c>
      <c r="AF66" s="100">
        <f t="shared" si="0"/>
        <v>9</v>
      </c>
      <c r="AG66" s="100">
        <f t="shared" si="0"/>
        <v>10</v>
      </c>
      <c r="AH66" s="100">
        <f t="shared" si="0"/>
        <v>6</v>
      </c>
      <c r="AI66" s="100">
        <f t="shared" si="0"/>
        <v>15</v>
      </c>
    </row>
    <row r="67" spans="2:35" ht="12.75">
      <c r="B67" s="101" t="s">
        <v>2</v>
      </c>
      <c r="C67" s="100">
        <f t="shared" si="0"/>
        <v>554</v>
      </c>
      <c r="D67" s="100">
        <f t="shared" si="0"/>
        <v>688</v>
      </c>
      <c r="E67" s="100">
        <f t="shared" si="0"/>
        <v>611</v>
      </c>
      <c r="F67" s="100">
        <f t="shared" si="0"/>
        <v>641</v>
      </c>
      <c r="G67" s="100">
        <f t="shared" si="0"/>
        <v>593</v>
      </c>
      <c r="H67" s="100">
        <f t="shared" si="0"/>
        <v>587</v>
      </c>
      <c r="I67" s="100">
        <f t="shared" si="0"/>
        <v>612</v>
      </c>
      <c r="J67" s="100">
        <f t="shared" si="0"/>
        <v>619</v>
      </c>
      <c r="K67" s="100">
        <f t="shared" si="0"/>
        <v>576</v>
      </c>
      <c r="L67" s="100">
        <f t="shared" si="0"/>
        <v>540</v>
      </c>
      <c r="M67" s="100">
        <f t="shared" si="0"/>
        <v>618</v>
      </c>
      <c r="N67" s="100">
        <f t="shared" si="0"/>
        <v>600</v>
      </c>
      <c r="O67" s="100">
        <f t="shared" si="0"/>
        <v>616</v>
      </c>
      <c r="P67" s="100">
        <f t="shared" si="0"/>
        <v>611</v>
      </c>
      <c r="Q67" s="100">
        <f t="shared" si="0"/>
        <v>616</v>
      </c>
      <c r="R67" s="100">
        <f t="shared" si="0"/>
        <v>687</v>
      </c>
      <c r="S67" s="100">
        <f t="shared" si="0"/>
        <v>645</v>
      </c>
      <c r="T67" s="100">
        <f t="shared" si="0"/>
        <v>614</v>
      </c>
      <c r="U67" s="100">
        <f t="shared" si="0"/>
        <v>692</v>
      </c>
      <c r="V67" s="100">
        <f t="shared" si="0"/>
        <v>704</v>
      </c>
      <c r="W67" s="100">
        <f t="shared" si="0"/>
        <v>679</v>
      </c>
      <c r="X67" s="100">
        <f t="shared" si="0"/>
        <v>649</v>
      </c>
      <c r="Y67" s="100">
        <f t="shared" si="0"/>
        <v>719</v>
      </c>
      <c r="Z67" s="100">
        <f t="shared" si="0"/>
        <v>629</v>
      </c>
      <c r="AA67" s="100">
        <f t="shared" si="0"/>
        <v>723</v>
      </c>
      <c r="AB67" s="100">
        <f t="shared" si="0"/>
        <v>705</v>
      </c>
      <c r="AC67" s="100">
        <f t="shared" si="0"/>
        <v>691</v>
      </c>
      <c r="AD67" s="100">
        <f t="shared" si="0"/>
        <v>696</v>
      </c>
      <c r="AE67" s="100">
        <f t="shared" si="0"/>
        <v>655</v>
      </c>
      <c r="AF67" s="100">
        <f t="shared" si="0"/>
        <v>694</v>
      </c>
      <c r="AG67" s="100">
        <f t="shared" si="0"/>
        <v>661</v>
      </c>
      <c r="AH67" s="100">
        <f t="shared" si="0"/>
        <v>659</v>
      </c>
      <c r="AI67" s="100">
        <f t="shared" si="0"/>
        <v>734</v>
      </c>
    </row>
    <row r="68" spans="2:35" ht="12.75">
      <c r="B68" s="101" t="s">
        <v>3</v>
      </c>
      <c r="C68" s="100">
        <f t="shared" si="0"/>
        <v>51</v>
      </c>
      <c r="D68" s="100">
        <f t="shared" si="0"/>
        <v>72</v>
      </c>
      <c r="E68" s="100">
        <f t="shared" si="0"/>
        <v>78</v>
      </c>
      <c r="F68" s="100">
        <f t="shared" si="0"/>
        <v>71</v>
      </c>
      <c r="G68" s="100">
        <f t="shared" si="0"/>
        <v>85</v>
      </c>
      <c r="H68" s="100">
        <f t="shared" si="0"/>
        <v>75</v>
      </c>
      <c r="I68" s="100">
        <f t="shared" si="0"/>
        <v>85</v>
      </c>
      <c r="J68" s="100">
        <f t="shared" si="0"/>
        <v>88</v>
      </c>
      <c r="K68" s="100">
        <f t="shared" si="0"/>
        <v>86</v>
      </c>
      <c r="L68" s="100">
        <f t="shared" si="0"/>
        <v>81</v>
      </c>
      <c r="M68" s="100">
        <f t="shared" si="0"/>
        <v>101</v>
      </c>
      <c r="N68" s="100">
        <f t="shared" si="0"/>
        <v>91</v>
      </c>
      <c r="O68" s="100">
        <f t="shared" si="0"/>
        <v>100</v>
      </c>
      <c r="P68" s="100">
        <f t="shared" si="0"/>
        <v>95</v>
      </c>
      <c r="Q68" s="100">
        <f t="shared" si="0"/>
        <v>96</v>
      </c>
      <c r="R68" s="100">
        <f t="shared" si="0"/>
        <v>95</v>
      </c>
      <c r="S68" s="100">
        <f t="shared" si="0"/>
        <v>99</v>
      </c>
      <c r="T68" s="100">
        <f t="shared" si="0"/>
        <v>106</v>
      </c>
      <c r="U68" s="100">
        <f t="shared" si="0"/>
        <v>110</v>
      </c>
      <c r="V68" s="100">
        <f t="shared" si="0"/>
        <v>112</v>
      </c>
      <c r="W68" s="100">
        <f t="shared" si="0"/>
        <v>107</v>
      </c>
      <c r="X68" s="100">
        <f t="shared" si="0"/>
        <v>96</v>
      </c>
      <c r="Y68" s="100">
        <f t="shared" si="0"/>
        <v>100</v>
      </c>
      <c r="Z68" s="100">
        <f t="shared" si="0"/>
        <v>102</v>
      </c>
      <c r="AA68" s="100">
        <f t="shared" si="0"/>
        <v>110</v>
      </c>
      <c r="AB68" s="100">
        <f t="shared" si="0"/>
        <v>101</v>
      </c>
      <c r="AC68" s="100">
        <f t="shared" si="0"/>
        <v>102</v>
      </c>
      <c r="AD68" s="100">
        <f t="shared" si="0"/>
        <v>104</v>
      </c>
      <c r="AE68" s="100">
        <f t="shared" si="0"/>
        <v>111</v>
      </c>
      <c r="AF68" s="100">
        <f t="shared" si="0"/>
        <v>118</v>
      </c>
      <c r="AG68" s="100">
        <f t="shared" si="0"/>
        <v>107</v>
      </c>
      <c r="AH68" s="100">
        <f t="shared" si="0"/>
        <v>108</v>
      </c>
      <c r="AI68" s="100">
        <f t="shared" si="0"/>
        <v>121</v>
      </c>
    </row>
    <row r="69" spans="2:35" ht="12.75">
      <c r="B69" s="101" t="s">
        <v>74</v>
      </c>
      <c r="C69" s="100">
        <f t="shared" si="0"/>
        <v>0</v>
      </c>
      <c r="D69" s="100">
        <f t="shared" si="0"/>
        <v>0</v>
      </c>
      <c r="E69" s="100">
        <f t="shared" si="0"/>
        <v>0</v>
      </c>
      <c r="F69" s="100">
        <f t="shared" si="0"/>
        <v>0</v>
      </c>
      <c r="G69" s="100">
        <f t="shared" si="0"/>
        <v>0</v>
      </c>
      <c r="H69" s="100">
        <f t="shared" si="0"/>
        <v>0</v>
      </c>
      <c r="I69" s="100">
        <f t="shared" si="0"/>
        <v>0</v>
      </c>
      <c r="J69" s="100">
        <f t="shared" si="0"/>
        <v>0</v>
      </c>
      <c r="K69" s="100">
        <f t="shared" si="0"/>
        <v>0</v>
      </c>
      <c r="L69" s="100">
        <f t="shared" si="0"/>
        <v>0</v>
      </c>
      <c r="M69" s="100">
        <f t="shared" si="0"/>
        <v>0</v>
      </c>
      <c r="N69" s="100">
        <f t="shared" si="0"/>
        <v>0</v>
      </c>
      <c r="O69" s="100">
        <f t="shared" si="0"/>
        <v>0</v>
      </c>
      <c r="P69" s="100">
        <f t="shared" si="0"/>
        <v>0</v>
      </c>
      <c r="Q69" s="100">
        <f t="shared" si="0"/>
        <v>0</v>
      </c>
      <c r="R69" s="100">
        <f t="shared" si="0"/>
        <v>0</v>
      </c>
      <c r="S69" s="100">
        <f t="shared" si="0"/>
        <v>0</v>
      </c>
      <c r="T69" s="100">
        <f t="shared" si="0"/>
        <v>0</v>
      </c>
      <c r="U69" s="100">
        <f t="shared" si="0"/>
        <v>0</v>
      </c>
      <c r="V69" s="100">
        <f t="shared" si="0"/>
        <v>0</v>
      </c>
      <c r="W69" s="100">
        <f t="shared" si="0"/>
        <v>0</v>
      </c>
      <c r="X69" s="100">
        <f t="shared" si="0"/>
        <v>0</v>
      </c>
      <c r="Y69" s="100">
        <f t="shared" si="0"/>
        <v>0</v>
      </c>
      <c r="Z69" s="100">
        <f t="shared" si="0"/>
        <v>0</v>
      </c>
      <c r="AA69" s="100">
        <f t="shared" si="0"/>
        <v>0</v>
      </c>
      <c r="AB69" s="100">
        <f t="shared" si="0"/>
        <v>0</v>
      </c>
      <c r="AC69" s="100">
        <f t="shared" si="0"/>
        <v>0</v>
      </c>
      <c r="AD69" s="100">
        <f t="shared" si="0"/>
        <v>0</v>
      </c>
      <c r="AE69" s="100">
        <f t="shared" si="0"/>
        <v>0</v>
      </c>
      <c r="AF69" s="100">
        <f t="shared" si="0"/>
        <v>1</v>
      </c>
      <c r="AG69" s="100">
        <f t="shared" si="0"/>
        <v>0</v>
      </c>
      <c r="AH69" s="100">
        <f t="shared" si="0"/>
        <v>0</v>
      </c>
      <c r="AI69" s="100">
        <f t="shared" si="0"/>
        <v>1</v>
      </c>
    </row>
    <row r="70" spans="2:35" ht="12.75">
      <c r="B70" s="101" t="s">
        <v>4</v>
      </c>
      <c r="C70" s="100">
        <f t="shared" si="0"/>
        <v>958</v>
      </c>
      <c r="D70" s="100">
        <f t="shared" si="0"/>
        <v>1129</v>
      </c>
      <c r="E70" s="100">
        <f t="shared" si="0"/>
        <v>1051</v>
      </c>
      <c r="F70" s="100">
        <f t="shared" si="0"/>
        <v>1092</v>
      </c>
      <c r="G70" s="100">
        <f t="shared" si="0"/>
        <v>1043</v>
      </c>
      <c r="H70" s="100">
        <f t="shared" si="0"/>
        <v>1037</v>
      </c>
      <c r="I70" s="100">
        <f t="shared" si="0"/>
        <v>1078</v>
      </c>
      <c r="J70" s="100">
        <f t="shared" si="0"/>
        <v>1111</v>
      </c>
      <c r="K70" s="100">
        <f t="shared" si="0"/>
        <v>1095</v>
      </c>
      <c r="L70" s="100">
        <f t="shared" si="0"/>
        <v>939</v>
      </c>
      <c r="M70" s="100">
        <f t="shared" si="0"/>
        <v>1173</v>
      </c>
      <c r="N70" s="100">
        <f t="shared" si="0"/>
        <v>1035</v>
      </c>
      <c r="O70" s="100">
        <f t="shared" si="0"/>
        <v>1086</v>
      </c>
      <c r="P70" s="100">
        <f t="shared" si="0"/>
        <v>1065</v>
      </c>
      <c r="Q70" s="100">
        <f t="shared" si="0"/>
        <v>984</v>
      </c>
      <c r="R70" s="100">
        <f t="shared" si="0"/>
        <v>1010</v>
      </c>
      <c r="S70" s="100">
        <f t="shared" si="0"/>
        <v>987</v>
      </c>
      <c r="T70" s="100">
        <f t="shared" si="0"/>
        <v>942</v>
      </c>
      <c r="U70" s="100">
        <f t="shared" si="0"/>
        <v>977</v>
      </c>
      <c r="V70" s="100">
        <f t="shared" si="0"/>
        <v>1008</v>
      </c>
      <c r="W70" s="100">
        <f t="shared" si="0"/>
        <v>955</v>
      </c>
      <c r="X70" s="100">
        <f t="shared" si="0"/>
        <v>911</v>
      </c>
      <c r="Y70" s="100">
        <f t="shared" si="0"/>
        <v>989</v>
      </c>
      <c r="Z70" s="100">
        <f t="shared" si="0"/>
        <v>859</v>
      </c>
      <c r="AA70" s="100">
        <f t="shared" si="0"/>
        <v>984</v>
      </c>
      <c r="AB70" s="100">
        <f t="shared" si="0"/>
        <v>903</v>
      </c>
      <c r="AC70" s="100">
        <f t="shared" si="0"/>
        <v>825</v>
      </c>
      <c r="AD70" s="100">
        <f t="shared" si="0"/>
        <v>915</v>
      </c>
      <c r="AE70" s="100">
        <f t="shared" si="0"/>
        <v>840</v>
      </c>
      <c r="AF70" s="100">
        <f t="shared" si="0"/>
        <v>944</v>
      </c>
      <c r="AG70" s="100">
        <f t="shared" si="0"/>
        <v>876</v>
      </c>
      <c r="AH70" s="100">
        <f t="shared" si="0"/>
        <v>825</v>
      </c>
      <c r="AI70" s="100">
        <f t="shared" si="0"/>
        <v>990</v>
      </c>
    </row>
    <row r="71" spans="2:35" ht="12.75">
      <c r="B71" s="101" t="s">
        <v>5</v>
      </c>
      <c r="C71" s="100">
        <f t="shared" si="0"/>
        <v>313</v>
      </c>
      <c r="D71" s="100">
        <f t="shared" si="0"/>
        <v>389</v>
      </c>
      <c r="E71" s="100">
        <f t="shared" si="0"/>
        <v>403</v>
      </c>
      <c r="F71" s="100">
        <f t="shared" si="0"/>
        <v>365</v>
      </c>
      <c r="G71" s="100">
        <f t="shared" si="0"/>
        <v>369</v>
      </c>
      <c r="H71" s="100">
        <f t="shared" si="0"/>
        <v>382</v>
      </c>
      <c r="I71" s="100">
        <f t="shared" si="0"/>
        <v>431</v>
      </c>
      <c r="J71" s="100">
        <f t="shared" si="0"/>
        <v>419</v>
      </c>
      <c r="K71" s="100">
        <f t="shared" si="0"/>
        <v>382</v>
      </c>
      <c r="L71" s="100">
        <f t="shared" si="0"/>
        <v>338</v>
      </c>
      <c r="M71" s="100">
        <f t="shared" si="0"/>
        <v>432</v>
      </c>
      <c r="N71" s="100">
        <f t="shared" si="0"/>
        <v>405</v>
      </c>
      <c r="O71" s="100">
        <f t="shared" si="0"/>
        <v>426</v>
      </c>
      <c r="P71" s="100">
        <f t="shared" si="0"/>
        <v>433</v>
      </c>
      <c r="Q71" s="100">
        <f t="shared" si="0"/>
        <v>396</v>
      </c>
      <c r="R71" s="100">
        <f t="shared" si="0"/>
        <v>440</v>
      </c>
      <c r="S71" s="100">
        <f t="shared" si="0"/>
        <v>388</v>
      </c>
      <c r="T71" s="100">
        <f t="shared" si="0"/>
        <v>376</v>
      </c>
      <c r="U71" s="100">
        <f t="shared" si="0"/>
        <v>404</v>
      </c>
      <c r="V71" s="100">
        <f t="shared" si="0"/>
        <v>410</v>
      </c>
      <c r="W71" s="100">
        <f t="shared" si="0"/>
        <v>386</v>
      </c>
      <c r="X71" s="100">
        <f t="shared" si="0"/>
        <v>363</v>
      </c>
      <c r="Y71" s="100">
        <f t="shared" si="0"/>
        <v>399</v>
      </c>
      <c r="Z71" s="100">
        <f t="shared" si="0"/>
        <v>325</v>
      </c>
      <c r="AA71" s="100">
        <f t="shared" si="0"/>
        <v>419</v>
      </c>
      <c r="AB71" s="100">
        <f t="shared" si="0"/>
        <v>376</v>
      </c>
      <c r="AC71" s="100">
        <f t="shared" si="0"/>
        <v>378</v>
      </c>
      <c r="AD71" s="100">
        <f t="shared" si="0"/>
        <v>377</v>
      </c>
      <c r="AE71" s="100">
        <f t="shared" si="0"/>
        <v>363</v>
      </c>
      <c r="AF71" s="100">
        <f t="shared" si="0"/>
        <v>382</v>
      </c>
      <c r="AG71" s="100">
        <f t="shared" si="0"/>
        <v>360</v>
      </c>
      <c r="AH71" s="100">
        <f t="shared" si="0"/>
        <v>346</v>
      </c>
      <c r="AI71" s="100">
        <f t="shared" si="0"/>
        <v>416</v>
      </c>
    </row>
    <row r="72" spans="2:35" ht="12.75">
      <c r="B72" s="101" t="s">
        <v>53</v>
      </c>
      <c r="C72" s="100">
        <f t="shared" si="0"/>
        <v>0</v>
      </c>
      <c r="D72" s="100">
        <f t="shared" si="0"/>
        <v>0</v>
      </c>
      <c r="E72" s="100">
        <f t="shared" si="0"/>
        <v>0</v>
      </c>
      <c r="F72" s="100">
        <f t="shared" si="0"/>
        <v>0</v>
      </c>
      <c r="G72" s="100">
        <f t="shared" si="0"/>
        <v>0</v>
      </c>
      <c r="H72" s="100">
        <f t="shared" si="0"/>
        <v>0</v>
      </c>
      <c r="I72" s="100">
        <f t="shared" si="0"/>
        <v>0</v>
      </c>
      <c r="J72" s="100">
        <f t="shared" si="0"/>
        <v>0</v>
      </c>
      <c r="K72" s="100">
        <f t="shared" si="0"/>
        <v>0</v>
      </c>
      <c r="L72" s="100">
        <f t="shared" si="0"/>
        <v>0</v>
      </c>
      <c r="M72" s="100">
        <f t="shared" si="0"/>
        <v>0</v>
      </c>
      <c r="N72" s="100">
        <f t="shared" si="0"/>
        <v>0</v>
      </c>
      <c r="O72" s="100">
        <f t="shared" si="0"/>
        <v>0</v>
      </c>
      <c r="P72" s="100">
        <f t="shared" si="0"/>
        <v>0</v>
      </c>
      <c r="Q72" s="100">
        <f t="shared" si="0"/>
        <v>0</v>
      </c>
      <c r="R72" s="100">
        <f t="shared" si="0"/>
        <v>0</v>
      </c>
      <c r="S72" s="100">
        <f t="shared" si="0"/>
        <v>0</v>
      </c>
      <c r="T72" s="100">
        <f t="shared" si="0"/>
        <v>0</v>
      </c>
      <c r="U72" s="100">
        <f t="shared" si="0"/>
        <v>0</v>
      </c>
      <c r="V72" s="100">
        <f t="shared" si="0"/>
        <v>0</v>
      </c>
      <c r="W72" s="100">
        <f t="shared" si="0"/>
        <v>0</v>
      </c>
      <c r="X72" s="100">
        <f t="shared" si="0"/>
        <v>0</v>
      </c>
      <c r="Y72" s="100">
        <f t="shared" si="0"/>
        <v>0</v>
      </c>
      <c r="Z72" s="100">
        <f t="shared" si="0"/>
        <v>0</v>
      </c>
      <c r="AA72" s="100">
        <f t="shared" si="0"/>
        <v>0</v>
      </c>
      <c r="AB72" s="100">
        <f t="shared" si="0"/>
        <v>5</v>
      </c>
      <c r="AC72" s="100">
        <f t="shared" si="0"/>
        <v>7</v>
      </c>
      <c r="AD72" s="100">
        <f t="shared" si="0"/>
        <v>13</v>
      </c>
      <c r="AE72" s="100">
        <f t="shared" si="0"/>
        <v>13</v>
      </c>
      <c r="AF72" s="100">
        <f t="shared" si="0"/>
        <v>29</v>
      </c>
      <c r="AG72" s="100">
        <f t="shared" si="0"/>
        <v>25</v>
      </c>
      <c r="AH72" s="100">
        <f t="shared" si="0"/>
        <v>36</v>
      </c>
      <c r="AI72" s="100">
        <f t="shared" si="0"/>
        <v>46</v>
      </c>
    </row>
    <row r="73" spans="2:35" ht="12.75">
      <c r="B73" s="101" t="s">
        <v>6</v>
      </c>
      <c r="C73" s="100">
        <f t="shared" si="0"/>
        <v>50</v>
      </c>
      <c r="D73" s="100">
        <f t="shared" si="0"/>
        <v>56</v>
      </c>
      <c r="E73" s="100">
        <f t="shared" si="0"/>
        <v>47</v>
      </c>
      <c r="F73" s="100">
        <f t="shared" si="0"/>
        <v>58</v>
      </c>
      <c r="G73" s="100">
        <f t="shared" si="0"/>
        <v>49</v>
      </c>
      <c r="H73" s="100">
        <f t="shared" si="0"/>
        <v>49</v>
      </c>
      <c r="I73" s="100">
        <f t="shared" si="0"/>
        <v>50</v>
      </c>
      <c r="J73" s="100">
        <f t="shared" si="0"/>
        <v>56</v>
      </c>
      <c r="K73" s="100">
        <f t="shared" si="0"/>
        <v>49</v>
      </c>
      <c r="L73" s="100">
        <f t="shared" si="0"/>
        <v>55</v>
      </c>
      <c r="M73" s="100">
        <f t="shared" si="0"/>
        <v>50</v>
      </c>
      <c r="N73" s="100">
        <f t="shared" si="0"/>
        <v>47</v>
      </c>
      <c r="O73" s="100">
        <f t="shared" si="0"/>
        <v>58</v>
      </c>
      <c r="P73" s="100">
        <f t="shared" si="0"/>
        <v>64</v>
      </c>
      <c r="Q73" s="100">
        <f t="shared" si="0"/>
        <v>44</v>
      </c>
      <c r="R73" s="100">
        <f t="shared" si="0"/>
        <v>62</v>
      </c>
      <c r="S73" s="100">
        <f t="shared" si="0"/>
        <v>59</v>
      </c>
      <c r="T73" s="100">
        <f t="shared" si="0"/>
        <v>57</v>
      </c>
      <c r="U73" s="100">
        <f t="shared" si="0"/>
        <v>57</v>
      </c>
      <c r="V73" s="100">
        <f t="shared" si="0"/>
        <v>68</v>
      </c>
      <c r="W73" s="100">
        <f t="shared" si="0"/>
        <v>68</v>
      </c>
      <c r="X73" s="100">
        <f t="shared" si="0"/>
        <v>66</v>
      </c>
      <c r="Y73" s="100">
        <f t="shared" si="0"/>
        <v>71</v>
      </c>
      <c r="Z73" s="100">
        <f t="shared" si="0"/>
        <v>49</v>
      </c>
      <c r="AA73" s="100">
        <f aca="true" t="shared" si="1" ref="Y73:AI88">IF(ISERROR(AA42),0,AA42)</f>
        <v>75</v>
      </c>
      <c r="AB73" s="100">
        <f t="shared" si="1"/>
        <v>63</v>
      </c>
      <c r="AC73" s="100">
        <f t="shared" si="1"/>
        <v>57</v>
      </c>
      <c r="AD73" s="100">
        <f t="shared" si="1"/>
        <v>61</v>
      </c>
      <c r="AE73" s="100">
        <f t="shared" si="1"/>
        <v>64</v>
      </c>
      <c r="AF73" s="100">
        <f t="shared" si="1"/>
        <v>66</v>
      </c>
      <c r="AG73" s="100">
        <f t="shared" si="1"/>
        <v>59</v>
      </c>
      <c r="AH73" s="100">
        <f t="shared" si="1"/>
        <v>59</v>
      </c>
      <c r="AI73" s="100">
        <f t="shared" si="1"/>
        <v>53</v>
      </c>
    </row>
    <row r="74" spans="2:35" ht="12.75">
      <c r="B74" s="101" t="s">
        <v>7</v>
      </c>
      <c r="C74" s="100">
        <f aca="true" t="shared" si="2" ref="C74:X85">IF(ISERROR(C43),0,C43)</f>
        <v>115</v>
      </c>
      <c r="D74" s="100">
        <f t="shared" si="2"/>
        <v>136</v>
      </c>
      <c r="E74" s="100">
        <f t="shared" si="2"/>
        <v>134</v>
      </c>
      <c r="F74" s="100">
        <f t="shared" si="2"/>
        <v>123</v>
      </c>
      <c r="G74" s="100">
        <f t="shared" si="2"/>
        <v>110</v>
      </c>
      <c r="H74" s="100">
        <f t="shared" si="2"/>
        <v>120</v>
      </c>
      <c r="I74" s="100">
        <f t="shared" si="2"/>
        <v>122</v>
      </c>
      <c r="J74" s="100">
        <f t="shared" si="2"/>
        <v>113</v>
      </c>
      <c r="K74" s="100">
        <f t="shared" si="2"/>
        <v>126</v>
      </c>
      <c r="L74" s="100">
        <f t="shared" si="2"/>
        <v>112</v>
      </c>
      <c r="M74" s="100">
        <f t="shared" si="2"/>
        <v>123</v>
      </c>
      <c r="N74" s="100">
        <f t="shared" si="2"/>
        <v>142</v>
      </c>
      <c r="O74" s="100">
        <f t="shared" si="2"/>
        <v>124</v>
      </c>
      <c r="P74" s="100">
        <f t="shared" si="2"/>
        <v>120</v>
      </c>
      <c r="Q74" s="100">
        <f t="shared" si="2"/>
        <v>127</v>
      </c>
      <c r="R74" s="100">
        <f t="shared" si="2"/>
        <v>134</v>
      </c>
      <c r="S74" s="100">
        <f t="shared" si="2"/>
        <v>103</v>
      </c>
      <c r="T74" s="100">
        <f t="shared" si="2"/>
        <v>115</v>
      </c>
      <c r="U74" s="100">
        <f t="shared" si="2"/>
        <v>121</v>
      </c>
      <c r="V74" s="100">
        <f t="shared" si="2"/>
        <v>116</v>
      </c>
      <c r="W74" s="100">
        <f t="shared" si="2"/>
        <v>121</v>
      </c>
      <c r="X74" s="100">
        <f t="shared" si="2"/>
        <v>87</v>
      </c>
      <c r="Y74" s="100">
        <f t="shared" si="1"/>
        <v>113</v>
      </c>
      <c r="Z74" s="100">
        <f t="shared" si="1"/>
        <v>101</v>
      </c>
      <c r="AA74" s="100">
        <f t="shared" si="1"/>
        <v>112</v>
      </c>
      <c r="AB74" s="100">
        <f t="shared" si="1"/>
        <v>112</v>
      </c>
      <c r="AC74" s="100">
        <f t="shared" si="1"/>
        <v>104</v>
      </c>
      <c r="AD74" s="100">
        <f t="shared" si="1"/>
        <v>99</v>
      </c>
      <c r="AE74" s="100">
        <f t="shared" si="1"/>
        <v>104</v>
      </c>
      <c r="AF74" s="100">
        <f t="shared" si="1"/>
        <v>112</v>
      </c>
      <c r="AG74" s="100">
        <f t="shared" si="1"/>
        <v>104</v>
      </c>
      <c r="AH74" s="100">
        <f t="shared" si="1"/>
        <v>95</v>
      </c>
      <c r="AI74" s="100">
        <f t="shared" si="1"/>
        <v>109</v>
      </c>
    </row>
    <row r="75" spans="2:35" ht="12.75">
      <c r="B75" s="101" t="s">
        <v>8</v>
      </c>
      <c r="C75" s="100">
        <f t="shared" si="2"/>
        <v>64</v>
      </c>
      <c r="D75" s="100">
        <f t="shared" si="2"/>
        <v>77</v>
      </c>
      <c r="E75" s="100">
        <f t="shared" si="2"/>
        <v>70</v>
      </c>
      <c r="F75" s="100">
        <f t="shared" si="2"/>
        <v>70</v>
      </c>
      <c r="G75" s="100">
        <f t="shared" si="2"/>
        <v>70</v>
      </c>
      <c r="H75" s="100">
        <f t="shared" si="2"/>
        <v>67</v>
      </c>
      <c r="I75" s="100">
        <f t="shared" si="2"/>
        <v>71</v>
      </c>
      <c r="J75" s="100">
        <f t="shared" si="2"/>
        <v>78</v>
      </c>
      <c r="K75" s="100">
        <f t="shared" si="2"/>
        <v>74</v>
      </c>
      <c r="L75" s="100">
        <f t="shared" si="2"/>
        <v>79</v>
      </c>
      <c r="M75" s="100">
        <f t="shared" si="2"/>
        <v>80</v>
      </c>
      <c r="N75" s="100">
        <f t="shared" si="2"/>
        <v>76</v>
      </c>
      <c r="O75" s="100">
        <f t="shared" si="2"/>
        <v>80</v>
      </c>
      <c r="P75" s="100">
        <f t="shared" si="2"/>
        <v>75</v>
      </c>
      <c r="Q75" s="100">
        <f t="shared" si="2"/>
        <v>71</v>
      </c>
      <c r="R75" s="100">
        <f t="shared" si="2"/>
        <v>76</v>
      </c>
      <c r="S75" s="100">
        <f t="shared" si="2"/>
        <v>78</v>
      </c>
      <c r="T75" s="100">
        <f t="shared" si="2"/>
        <v>75</v>
      </c>
      <c r="U75" s="100">
        <f t="shared" si="2"/>
        <v>72</v>
      </c>
      <c r="V75" s="100">
        <f t="shared" si="2"/>
        <v>74</v>
      </c>
      <c r="W75" s="100">
        <f t="shared" si="2"/>
        <v>76</v>
      </c>
      <c r="X75" s="100">
        <f t="shared" si="2"/>
        <v>68</v>
      </c>
      <c r="Y75" s="100">
        <f t="shared" si="1"/>
        <v>77</v>
      </c>
      <c r="Z75" s="100">
        <f t="shared" si="1"/>
        <v>56</v>
      </c>
      <c r="AA75" s="100">
        <f t="shared" si="1"/>
        <v>76</v>
      </c>
      <c r="AB75" s="100">
        <f t="shared" si="1"/>
        <v>73</v>
      </c>
      <c r="AC75" s="100">
        <f t="shared" si="1"/>
        <v>64</v>
      </c>
      <c r="AD75" s="100">
        <f t="shared" si="1"/>
        <v>81</v>
      </c>
      <c r="AE75" s="100">
        <f t="shared" si="1"/>
        <v>67</v>
      </c>
      <c r="AF75" s="100">
        <f t="shared" si="1"/>
        <v>63</v>
      </c>
      <c r="AG75" s="100">
        <f t="shared" si="1"/>
        <v>73</v>
      </c>
      <c r="AH75" s="100">
        <f t="shared" si="1"/>
        <v>67</v>
      </c>
      <c r="AI75" s="100">
        <f t="shared" si="1"/>
        <v>78</v>
      </c>
    </row>
    <row r="76" spans="2:35" ht="12.75">
      <c r="B76" s="101" t="s">
        <v>9</v>
      </c>
      <c r="C76" s="100">
        <f t="shared" si="2"/>
        <v>462</v>
      </c>
      <c r="D76" s="100">
        <f t="shared" si="2"/>
        <v>583</v>
      </c>
      <c r="E76" s="100">
        <f t="shared" si="2"/>
        <v>538</v>
      </c>
      <c r="F76" s="100">
        <f t="shared" si="2"/>
        <v>539</v>
      </c>
      <c r="G76" s="100">
        <f t="shared" si="2"/>
        <v>535</v>
      </c>
      <c r="H76" s="100">
        <f t="shared" si="2"/>
        <v>535</v>
      </c>
      <c r="I76" s="100">
        <f t="shared" si="2"/>
        <v>581</v>
      </c>
      <c r="J76" s="100">
        <f t="shared" si="2"/>
        <v>568</v>
      </c>
      <c r="K76" s="100">
        <f t="shared" si="2"/>
        <v>574</v>
      </c>
      <c r="L76" s="100">
        <f t="shared" si="2"/>
        <v>542</v>
      </c>
      <c r="M76" s="100">
        <f t="shared" si="2"/>
        <v>614</v>
      </c>
      <c r="N76" s="100">
        <f t="shared" si="2"/>
        <v>597</v>
      </c>
      <c r="O76" s="100">
        <f t="shared" si="2"/>
        <v>626</v>
      </c>
      <c r="P76" s="100">
        <f t="shared" si="2"/>
        <v>595</v>
      </c>
      <c r="Q76" s="100">
        <f t="shared" si="2"/>
        <v>560</v>
      </c>
      <c r="R76" s="100">
        <f t="shared" si="2"/>
        <v>564</v>
      </c>
      <c r="S76" s="100">
        <f t="shared" si="2"/>
        <v>591</v>
      </c>
      <c r="T76" s="100">
        <f t="shared" si="2"/>
        <v>553</v>
      </c>
      <c r="U76" s="100">
        <f t="shared" si="2"/>
        <v>595</v>
      </c>
      <c r="V76" s="100">
        <f t="shared" si="2"/>
        <v>544</v>
      </c>
      <c r="W76" s="100">
        <f t="shared" si="2"/>
        <v>557</v>
      </c>
      <c r="X76" s="100">
        <f t="shared" si="2"/>
        <v>513</v>
      </c>
      <c r="Y76" s="100">
        <f t="shared" si="1"/>
        <v>602</v>
      </c>
      <c r="Z76" s="100">
        <f t="shared" si="1"/>
        <v>505</v>
      </c>
      <c r="AA76" s="100">
        <f t="shared" si="1"/>
        <v>602</v>
      </c>
      <c r="AB76" s="100">
        <f t="shared" si="1"/>
        <v>595</v>
      </c>
      <c r="AC76" s="100">
        <f t="shared" si="1"/>
        <v>562</v>
      </c>
      <c r="AD76" s="100">
        <f t="shared" si="1"/>
        <v>603</v>
      </c>
      <c r="AE76" s="100">
        <f t="shared" si="1"/>
        <v>555</v>
      </c>
      <c r="AF76" s="100">
        <f t="shared" si="1"/>
        <v>598</v>
      </c>
      <c r="AG76" s="100">
        <f t="shared" si="1"/>
        <v>546</v>
      </c>
      <c r="AH76" s="100">
        <f t="shared" si="1"/>
        <v>543</v>
      </c>
      <c r="AI76" s="100">
        <f t="shared" si="1"/>
        <v>620</v>
      </c>
    </row>
    <row r="77" spans="2:35" ht="12.75">
      <c r="B77" s="101" t="s">
        <v>10</v>
      </c>
      <c r="C77" s="100">
        <f t="shared" si="2"/>
        <v>172</v>
      </c>
      <c r="D77" s="100">
        <f t="shared" si="2"/>
        <v>186</v>
      </c>
      <c r="E77" s="100">
        <f t="shared" si="2"/>
        <v>161</v>
      </c>
      <c r="F77" s="100">
        <f t="shared" si="2"/>
        <v>195</v>
      </c>
      <c r="G77" s="100">
        <f t="shared" si="2"/>
        <v>193</v>
      </c>
      <c r="H77" s="100">
        <f t="shared" si="2"/>
        <v>191</v>
      </c>
      <c r="I77" s="100">
        <f t="shared" si="2"/>
        <v>201</v>
      </c>
      <c r="J77" s="100">
        <f t="shared" si="2"/>
        <v>227</v>
      </c>
      <c r="K77" s="100">
        <f t="shared" si="2"/>
        <v>220</v>
      </c>
      <c r="L77" s="100">
        <f t="shared" si="2"/>
        <v>202</v>
      </c>
      <c r="M77" s="100">
        <f t="shared" si="2"/>
        <v>233</v>
      </c>
      <c r="N77" s="100">
        <f t="shared" si="2"/>
        <v>239</v>
      </c>
      <c r="O77" s="100">
        <f t="shared" si="2"/>
        <v>219</v>
      </c>
      <c r="P77" s="100">
        <f t="shared" si="2"/>
        <v>250</v>
      </c>
      <c r="Q77" s="100">
        <f t="shared" si="2"/>
        <v>218</v>
      </c>
      <c r="R77" s="100">
        <f t="shared" si="2"/>
        <v>232</v>
      </c>
      <c r="S77" s="100">
        <f t="shared" si="2"/>
        <v>221</v>
      </c>
      <c r="T77" s="100">
        <f t="shared" si="2"/>
        <v>198</v>
      </c>
      <c r="U77" s="100">
        <f t="shared" si="2"/>
        <v>219</v>
      </c>
      <c r="V77" s="100">
        <f t="shared" si="2"/>
        <v>212</v>
      </c>
      <c r="W77" s="100">
        <f t="shared" si="2"/>
        <v>243</v>
      </c>
      <c r="X77" s="100">
        <f t="shared" si="2"/>
        <v>197</v>
      </c>
      <c r="Y77" s="100">
        <f t="shared" si="1"/>
        <v>226</v>
      </c>
      <c r="Z77" s="100">
        <f t="shared" si="1"/>
        <v>193</v>
      </c>
      <c r="AA77" s="100">
        <f t="shared" si="1"/>
        <v>224</v>
      </c>
      <c r="AB77" s="100">
        <f t="shared" si="1"/>
        <v>212</v>
      </c>
      <c r="AC77" s="100">
        <f t="shared" si="1"/>
        <v>196</v>
      </c>
      <c r="AD77" s="100">
        <f t="shared" si="1"/>
        <v>212</v>
      </c>
      <c r="AE77" s="100">
        <f t="shared" si="1"/>
        <v>213</v>
      </c>
      <c r="AF77" s="100">
        <f t="shared" si="1"/>
        <v>231</v>
      </c>
      <c r="AG77" s="100">
        <f t="shared" si="1"/>
        <v>214</v>
      </c>
      <c r="AH77" s="100">
        <f t="shared" si="1"/>
        <v>211</v>
      </c>
      <c r="AI77" s="100">
        <f t="shared" si="1"/>
        <v>245</v>
      </c>
    </row>
    <row r="78" spans="2:35" ht="12.75">
      <c r="B78" s="101" t="s">
        <v>11</v>
      </c>
      <c r="C78" s="100">
        <f t="shared" si="2"/>
        <v>197</v>
      </c>
      <c r="D78" s="100">
        <f t="shared" si="2"/>
        <v>215</v>
      </c>
      <c r="E78" s="100">
        <f t="shared" si="2"/>
        <v>192</v>
      </c>
      <c r="F78" s="100">
        <f t="shared" si="2"/>
        <v>217</v>
      </c>
      <c r="G78" s="100">
        <f t="shared" si="2"/>
        <v>200</v>
      </c>
      <c r="H78" s="100">
        <f t="shared" si="2"/>
        <v>183</v>
      </c>
      <c r="I78" s="100">
        <f t="shared" si="2"/>
        <v>202</v>
      </c>
      <c r="J78" s="100">
        <f t="shared" si="2"/>
        <v>200</v>
      </c>
      <c r="K78" s="100">
        <f t="shared" si="2"/>
        <v>196</v>
      </c>
      <c r="L78" s="100">
        <f t="shared" si="2"/>
        <v>173</v>
      </c>
      <c r="M78" s="100">
        <f t="shared" si="2"/>
        <v>209</v>
      </c>
      <c r="N78" s="100">
        <f t="shared" si="2"/>
        <v>191</v>
      </c>
      <c r="O78" s="100">
        <f t="shared" si="2"/>
        <v>206</v>
      </c>
      <c r="P78" s="100">
        <f t="shared" si="2"/>
        <v>202</v>
      </c>
      <c r="Q78" s="100">
        <f t="shared" si="2"/>
        <v>188</v>
      </c>
      <c r="R78" s="100">
        <f t="shared" si="2"/>
        <v>205</v>
      </c>
      <c r="S78" s="100">
        <f t="shared" si="2"/>
        <v>193</v>
      </c>
      <c r="T78" s="100">
        <f t="shared" si="2"/>
        <v>188</v>
      </c>
      <c r="U78" s="100">
        <f t="shared" si="2"/>
        <v>210</v>
      </c>
      <c r="V78" s="100">
        <f t="shared" si="2"/>
        <v>184</v>
      </c>
      <c r="W78" s="100">
        <f t="shared" si="2"/>
        <v>202</v>
      </c>
      <c r="X78" s="100">
        <f t="shared" si="2"/>
        <v>189</v>
      </c>
      <c r="Y78" s="100">
        <f t="shared" si="1"/>
        <v>193</v>
      </c>
      <c r="Z78" s="100">
        <f t="shared" si="1"/>
        <v>177</v>
      </c>
      <c r="AA78" s="100">
        <f t="shared" si="1"/>
        <v>203</v>
      </c>
      <c r="AB78" s="100">
        <f t="shared" si="1"/>
        <v>192</v>
      </c>
      <c r="AC78" s="100">
        <f t="shared" si="1"/>
        <v>195</v>
      </c>
      <c r="AD78" s="100">
        <f t="shared" si="1"/>
        <v>204</v>
      </c>
      <c r="AE78" s="100">
        <f t="shared" si="1"/>
        <v>185</v>
      </c>
      <c r="AF78" s="100">
        <f t="shared" si="1"/>
        <v>196</v>
      </c>
      <c r="AG78" s="100">
        <f t="shared" si="1"/>
        <v>176</v>
      </c>
      <c r="AH78" s="100">
        <f t="shared" si="1"/>
        <v>189</v>
      </c>
      <c r="AI78" s="100">
        <f t="shared" si="1"/>
        <v>209</v>
      </c>
    </row>
    <row r="79" spans="2:35" ht="12.75">
      <c r="B79" s="101" t="s">
        <v>12</v>
      </c>
      <c r="C79" s="100">
        <f t="shared" si="2"/>
        <v>3</v>
      </c>
      <c r="D79" s="100">
        <f t="shared" si="2"/>
        <v>10</v>
      </c>
      <c r="E79" s="100">
        <f t="shared" si="2"/>
        <v>6</v>
      </c>
      <c r="F79" s="100">
        <f t="shared" si="2"/>
        <v>7</v>
      </c>
      <c r="G79" s="100">
        <f t="shared" si="2"/>
        <v>10</v>
      </c>
      <c r="H79" s="100">
        <f t="shared" si="2"/>
        <v>8</v>
      </c>
      <c r="I79" s="100">
        <f t="shared" si="2"/>
        <v>11</v>
      </c>
      <c r="J79" s="100">
        <f t="shared" si="2"/>
        <v>7</v>
      </c>
      <c r="K79" s="100">
        <f t="shared" si="2"/>
        <v>10</v>
      </c>
      <c r="L79" s="100">
        <f t="shared" si="2"/>
        <v>11</v>
      </c>
      <c r="M79" s="100">
        <f t="shared" si="2"/>
        <v>13</v>
      </c>
      <c r="N79" s="100">
        <f t="shared" si="2"/>
        <v>19</v>
      </c>
      <c r="O79" s="100">
        <f t="shared" si="2"/>
        <v>18</v>
      </c>
      <c r="P79" s="100">
        <f t="shared" si="2"/>
        <v>10</v>
      </c>
      <c r="Q79" s="100">
        <f t="shared" si="2"/>
        <v>14</v>
      </c>
      <c r="R79" s="100">
        <f t="shared" si="2"/>
        <v>17</v>
      </c>
      <c r="S79" s="100">
        <f t="shared" si="2"/>
        <v>13</v>
      </c>
      <c r="T79" s="100">
        <f t="shared" si="2"/>
        <v>12</v>
      </c>
      <c r="U79" s="100">
        <f t="shared" si="2"/>
        <v>16</v>
      </c>
      <c r="V79" s="100">
        <f t="shared" si="2"/>
        <v>11</v>
      </c>
      <c r="W79" s="100">
        <f t="shared" si="2"/>
        <v>8</v>
      </c>
      <c r="X79" s="100">
        <f t="shared" si="2"/>
        <v>13</v>
      </c>
      <c r="Y79" s="100">
        <f t="shared" si="1"/>
        <v>6</v>
      </c>
      <c r="Z79" s="100">
        <f t="shared" si="1"/>
        <v>12</v>
      </c>
      <c r="AA79" s="100">
        <f t="shared" si="1"/>
        <v>10</v>
      </c>
      <c r="AB79" s="100">
        <f t="shared" si="1"/>
        <v>15</v>
      </c>
      <c r="AC79" s="100">
        <f t="shared" si="1"/>
        <v>11</v>
      </c>
      <c r="AD79" s="100">
        <f t="shared" si="1"/>
        <v>14</v>
      </c>
      <c r="AE79" s="100">
        <f t="shared" si="1"/>
        <v>14</v>
      </c>
      <c r="AF79" s="100">
        <f t="shared" si="1"/>
        <v>22</v>
      </c>
      <c r="AG79" s="100">
        <f t="shared" si="1"/>
        <v>19</v>
      </c>
      <c r="AH79" s="100">
        <f t="shared" si="1"/>
        <v>18</v>
      </c>
      <c r="AI79" s="100">
        <f t="shared" si="1"/>
        <v>31</v>
      </c>
    </row>
    <row r="80" spans="2:35" ht="12.75">
      <c r="B80" s="101" t="s">
        <v>13</v>
      </c>
      <c r="C80" s="100">
        <f t="shared" si="2"/>
        <v>0</v>
      </c>
      <c r="D80" s="100">
        <f t="shared" si="2"/>
        <v>0</v>
      </c>
      <c r="E80" s="100">
        <f t="shared" si="2"/>
        <v>0</v>
      </c>
      <c r="F80" s="100">
        <f t="shared" si="2"/>
        <v>0</v>
      </c>
      <c r="G80" s="100">
        <f t="shared" si="2"/>
        <v>0</v>
      </c>
      <c r="H80" s="100">
        <f t="shared" si="2"/>
        <v>0</v>
      </c>
      <c r="I80" s="100">
        <f t="shared" si="2"/>
        <v>0</v>
      </c>
      <c r="J80" s="100">
        <f t="shared" si="2"/>
        <v>0</v>
      </c>
      <c r="K80" s="100">
        <f t="shared" si="2"/>
        <v>0</v>
      </c>
      <c r="L80" s="100">
        <f t="shared" si="2"/>
        <v>0</v>
      </c>
      <c r="M80" s="100">
        <f t="shared" si="2"/>
        <v>0</v>
      </c>
      <c r="N80" s="100">
        <f t="shared" si="2"/>
        <v>0</v>
      </c>
      <c r="O80" s="100">
        <f t="shared" si="2"/>
        <v>0</v>
      </c>
      <c r="P80" s="100">
        <f t="shared" si="2"/>
        <v>0</v>
      </c>
      <c r="Q80" s="100">
        <f t="shared" si="2"/>
        <v>0</v>
      </c>
      <c r="R80" s="100">
        <f t="shared" si="2"/>
        <v>0</v>
      </c>
      <c r="S80" s="100">
        <f t="shared" si="2"/>
        <v>0</v>
      </c>
      <c r="T80" s="100">
        <f t="shared" si="2"/>
        <v>0</v>
      </c>
      <c r="U80" s="100">
        <f t="shared" si="2"/>
        <v>0</v>
      </c>
      <c r="V80" s="100">
        <f t="shared" si="2"/>
        <v>0</v>
      </c>
      <c r="W80" s="100">
        <f t="shared" si="2"/>
        <v>0</v>
      </c>
      <c r="X80" s="100">
        <f t="shared" si="2"/>
        <v>34</v>
      </c>
      <c r="Y80" s="100">
        <f t="shared" si="1"/>
        <v>82</v>
      </c>
      <c r="Z80" s="100">
        <f t="shared" si="1"/>
        <v>100</v>
      </c>
      <c r="AA80" s="100">
        <f t="shared" si="1"/>
        <v>146</v>
      </c>
      <c r="AB80" s="100">
        <f t="shared" si="1"/>
        <v>155</v>
      </c>
      <c r="AC80" s="100">
        <f t="shared" si="1"/>
        <v>156</v>
      </c>
      <c r="AD80" s="100">
        <f t="shared" si="1"/>
        <v>162</v>
      </c>
      <c r="AE80" s="100">
        <f t="shared" si="1"/>
        <v>171</v>
      </c>
      <c r="AF80" s="100">
        <f t="shared" si="1"/>
        <v>214</v>
      </c>
      <c r="AG80" s="100">
        <f t="shared" si="1"/>
        <v>234</v>
      </c>
      <c r="AH80" s="100">
        <f t="shared" si="1"/>
        <v>208</v>
      </c>
      <c r="AI80" s="100">
        <f t="shared" si="1"/>
        <v>258</v>
      </c>
    </row>
    <row r="81" spans="2:35" ht="12.75">
      <c r="B81" s="101" t="s">
        <v>14</v>
      </c>
      <c r="C81" s="100">
        <f t="shared" si="2"/>
        <v>62</v>
      </c>
      <c r="D81" s="100">
        <f t="shared" si="2"/>
        <v>126</v>
      </c>
      <c r="E81" s="100">
        <f t="shared" si="2"/>
        <v>140</v>
      </c>
      <c r="F81" s="100">
        <f t="shared" si="2"/>
        <v>121</v>
      </c>
      <c r="G81" s="100">
        <f t="shared" si="2"/>
        <v>134</v>
      </c>
      <c r="H81" s="100">
        <f t="shared" si="2"/>
        <v>138</v>
      </c>
      <c r="I81" s="100">
        <f t="shared" si="2"/>
        <v>147</v>
      </c>
      <c r="J81" s="100">
        <f t="shared" si="2"/>
        <v>114</v>
      </c>
      <c r="K81" s="100">
        <f t="shared" si="2"/>
        <v>136</v>
      </c>
      <c r="L81" s="100">
        <f t="shared" si="2"/>
        <v>126</v>
      </c>
      <c r="M81" s="100">
        <f t="shared" si="2"/>
        <v>162</v>
      </c>
      <c r="N81" s="100">
        <f t="shared" si="2"/>
        <v>172</v>
      </c>
      <c r="O81" s="100">
        <f t="shared" si="2"/>
        <v>196</v>
      </c>
      <c r="P81" s="100">
        <f t="shared" si="2"/>
        <v>202</v>
      </c>
      <c r="Q81" s="100">
        <f t="shared" si="2"/>
        <v>180</v>
      </c>
      <c r="R81" s="100">
        <f t="shared" si="2"/>
        <v>210</v>
      </c>
      <c r="S81" s="100">
        <f t="shared" si="2"/>
        <v>197</v>
      </c>
      <c r="T81" s="100">
        <f t="shared" si="2"/>
        <v>222</v>
      </c>
      <c r="U81" s="100">
        <f t="shared" si="2"/>
        <v>216</v>
      </c>
      <c r="V81" s="100">
        <f t="shared" si="2"/>
        <v>215</v>
      </c>
      <c r="W81" s="100">
        <f t="shared" si="2"/>
        <v>231</v>
      </c>
      <c r="X81" s="100">
        <f t="shared" si="2"/>
        <v>234</v>
      </c>
      <c r="Y81" s="100">
        <f t="shared" si="1"/>
        <v>265</v>
      </c>
      <c r="Z81" s="100">
        <f t="shared" si="1"/>
        <v>232</v>
      </c>
      <c r="AA81" s="100">
        <f t="shared" si="1"/>
        <v>253</v>
      </c>
      <c r="AB81" s="100">
        <f t="shared" si="1"/>
        <v>263</v>
      </c>
      <c r="AC81" s="100">
        <f t="shared" si="1"/>
        <v>231</v>
      </c>
      <c r="AD81" s="100">
        <f t="shared" si="1"/>
        <v>256</v>
      </c>
      <c r="AE81" s="100">
        <f t="shared" si="1"/>
        <v>247</v>
      </c>
      <c r="AF81" s="100">
        <f t="shared" si="1"/>
        <v>288</v>
      </c>
      <c r="AG81" s="100">
        <f t="shared" si="1"/>
        <v>247</v>
      </c>
      <c r="AH81" s="100">
        <f t="shared" si="1"/>
        <v>244</v>
      </c>
      <c r="AI81" s="100">
        <f t="shared" si="1"/>
        <v>290</v>
      </c>
    </row>
    <row r="82" spans="2:35" ht="12.75">
      <c r="B82" s="101" t="s">
        <v>15</v>
      </c>
      <c r="C82" s="100">
        <f t="shared" si="2"/>
        <v>4</v>
      </c>
      <c r="D82" s="100">
        <f t="shared" si="2"/>
        <v>12</v>
      </c>
      <c r="E82" s="100">
        <f t="shared" si="2"/>
        <v>10</v>
      </c>
      <c r="F82" s="100">
        <f t="shared" si="2"/>
        <v>10</v>
      </c>
      <c r="G82" s="100">
        <f t="shared" si="2"/>
        <v>14</v>
      </c>
      <c r="H82" s="100">
        <f t="shared" si="2"/>
        <v>16</v>
      </c>
      <c r="I82" s="100">
        <f t="shared" si="2"/>
        <v>22</v>
      </c>
      <c r="J82" s="100">
        <f t="shared" si="2"/>
        <v>19</v>
      </c>
      <c r="K82" s="100">
        <f t="shared" si="2"/>
        <v>14</v>
      </c>
      <c r="L82" s="100">
        <f t="shared" si="2"/>
        <v>20</v>
      </c>
      <c r="M82" s="100">
        <f t="shared" si="2"/>
        <v>27</v>
      </c>
      <c r="N82" s="100">
        <f t="shared" si="2"/>
        <v>19</v>
      </c>
      <c r="O82" s="100">
        <f t="shared" si="2"/>
        <v>24</v>
      </c>
      <c r="P82" s="100">
        <f t="shared" si="2"/>
        <v>23</v>
      </c>
      <c r="Q82" s="100">
        <f t="shared" si="2"/>
        <v>17</v>
      </c>
      <c r="R82" s="100">
        <f t="shared" si="2"/>
        <v>21</v>
      </c>
      <c r="S82" s="100">
        <f t="shared" si="2"/>
        <v>24</v>
      </c>
      <c r="T82" s="100">
        <f t="shared" si="2"/>
        <v>17</v>
      </c>
      <c r="U82" s="100">
        <f t="shared" si="2"/>
        <v>30</v>
      </c>
      <c r="V82" s="100">
        <f t="shared" si="2"/>
        <v>28</v>
      </c>
      <c r="W82" s="100">
        <f t="shared" si="2"/>
        <v>25</v>
      </c>
      <c r="X82" s="100">
        <f t="shared" si="2"/>
        <v>24</v>
      </c>
      <c r="Y82" s="100">
        <f t="shared" si="1"/>
        <v>32</v>
      </c>
      <c r="Z82" s="100">
        <f t="shared" si="1"/>
        <v>22</v>
      </c>
      <c r="AA82" s="100">
        <f t="shared" si="1"/>
        <v>34</v>
      </c>
      <c r="AB82" s="100">
        <f t="shared" si="1"/>
        <v>28</v>
      </c>
      <c r="AC82" s="100">
        <f t="shared" si="1"/>
        <v>28</v>
      </c>
      <c r="AD82" s="100">
        <f t="shared" si="1"/>
        <v>40</v>
      </c>
      <c r="AE82" s="100">
        <f t="shared" si="1"/>
        <v>26</v>
      </c>
      <c r="AF82" s="100">
        <f t="shared" si="1"/>
        <v>43</v>
      </c>
      <c r="AG82" s="100">
        <f t="shared" si="1"/>
        <v>29</v>
      </c>
      <c r="AH82" s="100">
        <f t="shared" si="1"/>
        <v>28</v>
      </c>
      <c r="AI82" s="100">
        <f t="shared" si="1"/>
        <v>35</v>
      </c>
    </row>
    <row r="83" spans="2:35" ht="12.75">
      <c r="B83" s="101" t="s">
        <v>16</v>
      </c>
      <c r="C83" s="100">
        <f t="shared" si="2"/>
        <v>0</v>
      </c>
      <c r="D83" s="100">
        <f t="shared" si="2"/>
        <v>0</v>
      </c>
      <c r="E83" s="100">
        <f t="shared" si="2"/>
        <v>0</v>
      </c>
      <c r="F83" s="100">
        <f t="shared" si="2"/>
        <v>0</v>
      </c>
      <c r="G83" s="100">
        <f t="shared" si="2"/>
        <v>0</v>
      </c>
      <c r="H83" s="100">
        <f t="shared" si="2"/>
        <v>0</v>
      </c>
      <c r="I83" s="100">
        <f t="shared" si="2"/>
        <v>0</v>
      </c>
      <c r="J83" s="100">
        <f t="shared" si="2"/>
        <v>0</v>
      </c>
      <c r="K83" s="100">
        <f t="shared" si="2"/>
        <v>5</v>
      </c>
      <c r="L83" s="100">
        <f t="shared" si="2"/>
        <v>13</v>
      </c>
      <c r="M83" s="100">
        <f t="shared" si="2"/>
        <v>31</v>
      </c>
      <c r="N83" s="100">
        <f t="shared" si="2"/>
        <v>43</v>
      </c>
      <c r="O83" s="100">
        <f t="shared" si="2"/>
        <v>51</v>
      </c>
      <c r="P83" s="100">
        <f t="shared" si="2"/>
        <v>80</v>
      </c>
      <c r="Q83" s="100">
        <f t="shared" si="2"/>
        <v>71</v>
      </c>
      <c r="R83" s="100">
        <f t="shared" si="2"/>
        <v>87</v>
      </c>
      <c r="S83" s="100">
        <f t="shared" si="2"/>
        <v>111</v>
      </c>
      <c r="T83" s="100">
        <f t="shared" si="2"/>
        <v>115</v>
      </c>
      <c r="U83" s="100">
        <f t="shared" si="2"/>
        <v>112</v>
      </c>
      <c r="V83" s="100">
        <f t="shared" si="2"/>
        <v>135</v>
      </c>
      <c r="W83" s="100">
        <f t="shared" si="2"/>
        <v>141</v>
      </c>
      <c r="X83" s="100">
        <f t="shared" si="2"/>
        <v>159</v>
      </c>
      <c r="Y83" s="100">
        <f t="shared" si="1"/>
        <v>168</v>
      </c>
      <c r="Z83" s="100">
        <f t="shared" si="1"/>
        <v>128</v>
      </c>
      <c r="AA83" s="100">
        <f t="shared" si="1"/>
        <v>162</v>
      </c>
      <c r="AB83" s="100">
        <f t="shared" si="1"/>
        <v>163</v>
      </c>
      <c r="AC83" s="100">
        <f t="shared" si="1"/>
        <v>156</v>
      </c>
      <c r="AD83" s="100">
        <f t="shared" si="1"/>
        <v>159</v>
      </c>
      <c r="AE83" s="100">
        <f t="shared" si="1"/>
        <v>155</v>
      </c>
      <c r="AF83" s="100">
        <f t="shared" si="1"/>
        <v>189</v>
      </c>
      <c r="AG83" s="100">
        <f t="shared" si="1"/>
        <v>179</v>
      </c>
      <c r="AH83" s="100">
        <f t="shared" si="1"/>
        <v>147</v>
      </c>
      <c r="AI83" s="100">
        <f t="shared" si="1"/>
        <v>188</v>
      </c>
    </row>
    <row r="84" spans="2:35" ht="12.75">
      <c r="B84" s="101" t="s">
        <v>17</v>
      </c>
      <c r="C84" s="100">
        <f t="shared" si="2"/>
        <v>0</v>
      </c>
      <c r="D84" s="100">
        <f t="shared" si="2"/>
        <v>0</v>
      </c>
      <c r="E84" s="100">
        <f t="shared" si="2"/>
        <v>0</v>
      </c>
      <c r="F84" s="100">
        <f t="shared" si="2"/>
        <v>0</v>
      </c>
      <c r="G84" s="100">
        <f t="shared" si="2"/>
        <v>0</v>
      </c>
      <c r="H84" s="100">
        <f t="shared" si="2"/>
        <v>0</v>
      </c>
      <c r="I84" s="100">
        <f t="shared" si="2"/>
        <v>0</v>
      </c>
      <c r="J84" s="100">
        <f t="shared" si="2"/>
        <v>0</v>
      </c>
      <c r="K84" s="100">
        <f t="shared" si="2"/>
        <v>0</v>
      </c>
      <c r="L84" s="100">
        <f t="shared" si="2"/>
        <v>0</v>
      </c>
      <c r="M84" s="100">
        <f t="shared" si="2"/>
        <v>0</v>
      </c>
      <c r="N84" s="100">
        <f t="shared" si="2"/>
        <v>0</v>
      </c>
      <c r="O84" s="100">
        <f t="shared" si="2"/>
        <v>0</v>
      </c>
      <c r="P84" s="100">
        <f t="shared" si="2"/>
        <v>0</v>
      </c>
      <c r="Q84" s="100">
        <f t="shared" si="2"/>
        <v>0</v>
      </c>
      <c r="R84" s="100">
        <f t="shared" si="2"/>
        <v>0</v>
      </c>
      <c r="S84" s="100">
        <f t="shared" si="2"/>
        <v>0</v>
      </c>
      <c r="T84" s="100">
        <f t="shared" si="2"/>
        <v>0</v>
      </c>
      <c r="U84" s="100">
        <f t="shared" si="2"/>
        <v>0</v>
      </c>
      <c r="V84" s="100">
        <f t="shared" si="2"/>
        <v>0</v>
      </c>
      <c r="W84" s="100">
        <f t="shared" si="2"/>
        <v>2</v>
      </c>
      <c r="X84" s="100">
        <f t="shared" si="2"/>
        <v>9</v>
      </c>
      <c r="Y84" s="100">
        <f t="shared" si="1"/>
        <v>26</v>
      </c>
      <c r="Z84" s="100">
        <f t="shared" si="1"/>
        <v>25</v>
      </c>
      <c r="AA84" s="100">
        <f t="shared" si="1"/>
        <v>29</v>
      </c>
      <c r="AB84" s="100">
        <f t="shared" si="1"/>
        <v>35</v>
      </c>
      <c r="AC84" s="100">
        <f t="shared" si="1"/>
        <v>39</v>
      </c>
      <c r="AD84" s="100">
        <f t="shared" si="1"/>
        <v>37</v>
      </c>
      <c r="AE84" s="100">
        <f t="shared" si="1"/>
        <v>39</v>
      </c>
      <c r="AF84" s="100">
        <f t="shared" si="1"/>
        <v>41</v>
      </c>
      <c r="AG84" s="100">
        <f t="shared" si="1"/>
        <v>38</v>
      </c>
      <c r="AH84" s="100">
        <f t="shared" si="1"/>
        <v>37</v>
      </c>
      <c r="AI84" s="100">
        <f t="shared" si="1"/>
        <v>54</v>
      </c>
    </row>
    <row r="85" spans="2:35" ht="12.75">
      <c r="B85" s="101" t="s">
        <v>18</v>
      </c>
      <c r="C85" s="100">
        <f t="shared" si="2"/>
        <v>0</v>
      </c>
      <c r="D85" s="100">
        <f t="shared" si="2"/>
        <v>0</v>
      </c>
      <c r="E85" s="100">
        <f t="shared" si="2"/>
        <v>0</v>
      </c>
      <c r="F85" s="100">
        <f t="shared" si="2"/>
        <v>0</v>
      </c>
      <c r="G85" s="100">
        <f t="shared" si="2"/>
        <v>0</v>
      </c>
      <c r="H85" s="100">
        <f t="shared" si="2"/>
        <v>0</v>
      </c>
      <c r="I85" s="100">
        <f t="shared" si="2"/>
        <v>0</v>
      </c>
      <c r="J85" s="100">
        <f t="shared" si="2"/>
        <v>0</v>
      </c>
      <c r="K85" s="100">
        <f t="shared" si="2"/>
        <v>0</v>
      </c>
      <c r="L85" s="100">
        <f t="shared" si="2"/>
        <v>0</v>
      </c>
      <c r="M85" s="100">
        <f t="shared" si="2"/>
        <v>0</v>
      </c>
      <c r="N85" s="100">
        <f t="shared" si="2"/>
        <v>0</v>
      </c>
      <c r="O85" s="100">
        <f t="shared" si="2"/>
        <v>0</v>
      </c>
      <c r="P85" s="100">
        <f aca="true" t="shared" si="3" ref="D85:AI94">IF(ISERROR(P54),0,P54)</f>
        <v>0</v>
      </c>
      <c r="Q85" s="100">
        <f t="shared" si="3"/>
        <v>0</v>
      </c>
      <c r="R85" s="100">
        <f t="shared" si="3"/>
        <v>0</v>
      </c>
      <c r="S85" s="100">
        <f t="shared" si="3"/>
        <v>0</v>
      </c>
      <c r="T85" s="100">
        <f t="shared" si="3"/>
        <v>0</v>
      </c>
      <c r="U85" s="100">
        <f t="shared" si="3"/>
        <v>0</v>
      </c>
      <c r="V85" s="100">
        <f t="shared" si="3"/>
        <v>0</v>
      </c>
      <c r="W85" s="100">
        <f t="shared" si="3"/>
        <v>0</v>
      </c>
      <c r="X85" s="100">
        <f t="shared" si="3"/>
        <v>7</v>
      </c>
      <c r="Y85" s="100">
        <f t="shared" si="1"/>
        <v>9</v>
      </c>
      <c r="Z85" s="100">
        <f t="shared" si="1"/>
        <v>9</v>
      </c>
      <c r="AA85" s="100">
        <f t="shared" si="1"/>
        <v>23</v>
      </c>
      <c r="AB85" s="100">
        <f t="shared" si="1"/>
        <v>20</v>
      </c>
      <c r="AC85" s="100">
        <f t="shared" si="1"/>
        <v>26</v>
      </c>
      <c r="AD85" s="100">
        <f t="shared" si="1"/>
        <v>28</v>
      </c>
      <c r="AE85" s="100">
        <f t="shared" si="1"/>
        <v>31</v>
      </c>
      <c r="AF85" s="100">
        <f t="shared" si="1"/>
        <v>45</v>
      </c>
      <c r="AG85" s="100">
        <f t="shared" si="1"/>
        <v>32</v>
      </c>
      <c r="AH85" s="100">
        <f t="shared" si="1"/>
        <v>29</v>
      </c>
      <c r="AI85" s="100">
        <f t="shared" si="1"/>
        <v>37</v>
      </c>
    </row>
    <row r="86" spans="2:35" ht="12.75">
      <c r="B86" s="101" t="s">
        <v>19</v>
      </c>
      <c r="C86" s="100">
        <f aca="true" t="shared" si="4" ref="C86:C94">IF(ISERROR(C55),0,C55)</f>
        <v>5</v>
      </c>
      <c r="D86" s="100">
        <f t="shared" si="3"/>
        <v>11</v>
      </c>
      <c r="E86" s="100">
        <f t="shared" si="3"/>
        <v>8</v>
      </c>
      <c r="F86" s="100">
        <f t="shared" si="3"/>
        <v>7</v>
      </c>
      <c r="G86" s="100">
        <f t="shared" si="3"/>
        <v>7</v>
      </c>
      <c r="H86" s="100">
        <f t="shared" si="3"/>
        <v>13</v>
      </c>
      <c r="I86" s="100">
        <f t="shared" si="3"/>
        <v>13</v>
      </c>
      <c r="J86" s="100">
        <f t="shared" si="3"/>
        <v>10</v>
      </c>
      <c r="K86" s="100">
        <f t="shared" si="3"/>
        <v>14</v>
      </c>
      <c r="L86" s="100">
        <f t="shared" si="3"/>
        <v>9</v>
      </c>
      <c r="M86" s="100">
        <f t="shared" si="3"/>
        <v>12</v>
      </c>
      <c r="N86" s="100">
        <f t="shared" si="3"/>
        <v>11</v>
      </c>
      <c r="O86" s="100">
        <f t="shared" si="3"/>
        <v>17</v>
      </c>
      <c r="P86" s="100">
        <f t="shared" si="3"/>
        <v>11</v>
      </c>
      <c r="Q86" s="100">
        <f t="shared" si="3"/>
        <v>12</v>
      </c>
      <c r="R86" s="100">
        <f t="shared" si="3"/>
        <v>14</v>
      </c>
      <c r="S86" s="100">
        <f t="shared" si="3"/>
        <v>16</v>
      </c>
      <c r="T86" s="100">
        <f t="shared" si="3"/>
        <v>13</v>
      </c>
      <c r="U86" s="100">
        <f t="shared" si="3"/>
        <v>11</v>
      </c>
      <c r="V86" s="100">
        <f t="shared" si="3"/>
        <v>14</v>
      </c>
      <c r="W86" s="100">
        <f t="shared" si="3"/>
        <v>18</v>
      </c>
      <c r="X86" s="100">
        <f t="shared" si="3"/>
        <v>14</v>
      </c>
      <c r="Y86" s="100">
        <f t="shared" si="1"/>
        <v>10</v>
      </c>
      <c r="Z86" s="100">
        <f t="shared" si="1"/>
        <v>12</v>
      </c>
      <c r="AA86" s="100">
        <f t="shared" si="1"/>
        <v>14</v>
      </c>
      <c r="AB86" s="100">
        <f t="shared" si="1"/>
        <v>15</v>
      </c>
      <c r="AC86" s="100">
        <f t="shared" si="1"/>
        <v>12</v>
      </c>
      <c r="AD86" s="100">
        <f t="shared" si="1"/>
        <v>18</v>
      </c>
      <c r="AE86" s="100">
        <f t="shared" si="1"/>
        <v>16</v>
      </c>
      <c r="AF86" s="100">
        <f t="shared" si="1"/>
        <v>21</v>
      </c>
      <c r="AG86" s="100">
        <f t="shared" si="1"/>
        <v>18</v>
      </c>
      <c r="AH86" s="100">
        <f t="shared" si="1"/>
        <v>12</v>
      </c>
      <c r="AI86" s="100">
        <f t="shared" si="1"/>
        <v>17</v>
      </c>
    </row>
    <row r="87" spans="2:35" ht="12.75">
      <c r="B87" s="101" t="s">
        <v>20</v>
      </c>
      <c r="C87" s="100">
        <f t="shared" si="4"/>
        <v>70</v>
      </c>
      <c r="D87" s="100">
        <f t="shared" si="3"/>
        <v>88</v>
      </c>
      <c r="E87" s="100">
        <f t="shared" si="3"/>
        <v>77</v>
      </c>
      <c r="F87" s="100">
        <f t="shared" si="3"/>
        <v>86</v>
      </c>
      <c r="G87" s="100">
        <f t="shared" si="3"/>
        <v>85</v>
      </c>
      <c r="H87" s="100">
        <f t="shared" si="3"/>
        <v>69</v>
      </c>
      <c r="I87" s="100">
        <f t="shared" si="3"/>
        <v>81</v>
      </c>
      <c r="J87" s="100">
        <f t="shared" si="3"/>
        <v>78</v>
      </c>
      <c r="K87" s="100">
        <f t="shared" si="3"/>
        <v>75</v>
      </c>
      <c r="L87" s="100">
        <f t="shared" si="3"/>
        <v>65</v>
      </c>
      <c r="M87" s="100">
        <f t="shared" si="3"/>
        <v>90</v>
      </c>
      <c r="N87" s="100">
        <f t="shared" si="3"/>
        <v>78</v>
      </c>
      <c r="O87" s="100">
        <f t="shared" si="3"/>
        <v>86</v>
      </c>
      <c r="P87" s="100">
        <f t="shared" si="3"/>
        <v>71</v>
      </c>
      <c r="Q87" s="100">
        <f t="shared" si="3"/>
        <v>67</v>
      </c>
      <c r="R87" s="100">
        <f t="shared" si="3"/>
        <v>64</v>
      </c>
      <c r="S87" s="100">
        <f t="shared" si="3"/>
        <v>77</v>
      </c>
      <c r="T87" s="100">
        <f t="shared" si="3"/>
        <v>70</v>
      </c>
      <c r="U87" s="100">
        <f t="shared" si="3"/>
        <v>66</v>
      </c>
      <c r="V87" s="100">
        <f t="shared" si="3"/>
        <v>71</v>
      </c>
      <c r="W87" s="100">
        <f t="shared" si="3"/>
        <v>61</v>
      </c>
      <c r="X87" s="100">
        <f t="shared" si="3"/>
        <v>67</v>
      </c>
      <c r="Y87" s="100">
        <f t="shared" si="1"/>
        <v>67</v>
      </c>
      <c r="Z87" s="100">
        <f t="shared" si="1"/>
        <v>64</v>
      </c>
      <c r="AA87" s="100">
        <f t="shared" si="1"/>
        <v>76</v>
      </c>
      <c r="AB87" s="100">
        <f t="shared" si="1"/>
        <v>68</v>
      </c>
      <c r="AC87" s="100">
        <f t="shared" si="1"/>
        <v>63</v>
      </c>
      <c r="AD87" s="100">
        <f t="shared" si="1"/>
        <v>60</v>
      </c>
      <c r="AE87" s="100">
        <f t="shared" si="1"/>
        <v>68</v>
      </c>
      <c r="AF87" s="100">
        <f t="shared" si="1"/>
        <v>57</v>
      </c>
      <c r="AG87" s="100">
        <f t="shared" si="1"/>
        <v>70</v>
      </c>
      <c r="AH87" s="100">
        <f t="shared" si="1"/>
        <v>64</v>
      </c>
      <c r="AI87" s="100">
        <f t="shared" si="1"/>
        <v>63</v>
      </c>
    </row>
    <row r="88" spans="2:35" ht="12.75">
      <c r="B88" s="101" t="s">
        <v>21</v>
      </c>
      <c r="C88" s="100">
        <f t="shared" si="4"/>
        <v>32</v>
      </c>
      <c r="D88" s="100">
        <f t="shared" si="3"/>
        <v>47</v>
      </c>
      <c r="E88" s="100">
        <f t="shared" si="3"/>
        <v>52</v>
      </c>
      <c r="F88" s="100">
        <f t="shared" si="3"/>
        <v>33</v>
      </c>
      <c r="G88" s="100">
        <f t="shared" si="3"/>
        <v>37</v>
      </c>
      <c r="H88" s="100">
        <f t="shared" si="3"/>
        <v>27</v>
      </c>
      <c r="I88" s="100">
        <f t="shared" si="3"/>
        <v>34</v>
      </c>
      <c r="J88" s="100">
        <f t="shared" si="3"/>
        <v>31</v>
      </c>
      <c r="K88" s="100">
        <f t="shared" si="3"/>
        <v>32</v>
      </c>
      <c r="L88" s="100">
        <f t="shared" si="3"/>
        <v>31</v>
      </c>
      <c r="M88" s="100">
        <f t="shared" si="3"/>
        <v>38</v>
      </c>
      <c r="N88" s="100">
        <f t="shared" si="3"/>
        <v>31</v>
      </c>
      <c r="O88" s="100">
        <f t="shared" si="3"/>
        <v>40</v>
      </c>
      <c r="P88" s="100">
        <f t="shared" si="3"/>
        <v>31</v>
      </c>
      <c r="Q88" s="100">
        <f t="shared" si="3"/>
        <v>27</v>
      </c>
      <c r="R88" s="100">
        <f t="shared" si="3"/>
        <v>31</v>
      </c>
      <c r="S88" s="100">
        <f t="shared" si="3"/>
        <v>35</v>
      </c>
      <c r="T88" s="100">
        <f t="shared" si="3"/>
        <v>33</v>
      </c>
      <c r="U88" s="100">
        <f t="shared" si="3"/>
        <v>33</v>
      </c>
      <c r="V88" s="100">
        <f t="shared" si="3"/>
        <v>40</v>
      </c>
      <c r="W88" s="100">
        <f t="shared" si="3"/>
        <v>35</v>
      </c>
      <c r="X88" s="100">
        <f t="shared" si="3"/>
        <v>33</v>
      </c>
      <c r="Y88" s="100">
        <f t="shared" si="1"/>
        <v>31</v>
      </c>
      <c r="Z88" s="100">
        <f t="shared" si="1"/>
        <v>29</v>
      </c>
      <c r="AA88" s="100">
        <f t="shared" si="1"/>
        <v>31</v>
      </c>
      <c r="AB88" s="100">
        <f t="shared" si="1"/>
        <v>26</v>
      </c>
      <c r="AC88" s="100">
        <f t="shared" si="1"/>
        <v>29</v>
      </c>
      <c r="AD88" s="100">
        <f t="shared" si="1"/>
        <v>34</v>
      </c>
      <c r="AE88" s="100">
        <f t="shared" si="1"/>
        <v>25</v>
      </c>
      <c r="AF88" s="100">
        <f t="shared" si="1"/>
        <v>36</v>
      </c>
      <c r="AG88" s="100">
        <f t="shared" si="1"/>
        <v>30</v>
      </c>
      <c r="AH88" s="100">
        <f t="shared" si="1"/>
        <v>29</v>
      </c>
      <c r="AI88" s="100">
        <f t="shared" si="1"/>
        <v>28</v>
      </c>
    </row>
    <row r="89" spans="2:35" ht="12.75">
      <c r="B89" s="101" t="s">
        <v>22</v>
      </c>
      <c r="C89" s="100">
        <f t="shared" si="4"/>
        <v>16</v>
      </c>
      <c r="D89" s="100">
        <f t="shared" si="3"/>
        <v>14</v>
      </c>
      <c r="E89" s="100">
        <f t="shared" si="3"/>
        <v>11</v>
      </c>
      <c r="F89" s="100">
        <f t="shared" si="3"/>
        <v>14</v>
      </c>
      <c r="G89" s="100">
        <f t="shared" si="3"/>
        <v>16</v>
      </c>
      <c r="H89" s="100">
        <f t="shared" si="3"/>
        <v>19</v>
      </c>
      <c r="I89" s="100">
        <f t="shared" si="3"/>
        <v>17</v>
      </c>
      <c r="J89" s="100">
        <f t="shared" si="3"/>
        <v>15</v>
      </c>
      <c r="K89" s="100">
        <f t="shared" si="3"/>
        <v>19</v>
      </c>
      <c r="L89" s="100">
        <f t="shared" si="3"/>
        <v>19</v>
      </c>
      <c r="M89" s="100">
        <f t="shared" si="3"/>
        <v>15</v>
      </c>
      <c r="N89" s="100">
        <f t="shared" si="3"/>
        <v>15</v>
      </c>
      <c r="O89" s="100">
        <f t="shared" si="3"/>
        <v>12</v>
      </c>
      <c r="P89" s="100">
        <f t="shared" si="3"/>
        <v>13</v>
      </c>
      <c r="Q89" s="100">
        <f t="shared" si="3"/>
        <v>13</v>
      </c>
      <c r="R89" s="100">
        <f t="shared" si="3"/>
        <v>13</v>
      </c>
      <c r="S89" s="100">
        <f t="shared" si="3"/>
        <v>18</v>
      </c>
      <c r="T89" s="100">
        <f t="shared" si="3"/>
        <v>14</v>
      </c>
      <c r="U89" s="100">
        <f t="shared" si="3"/>
        <v>18</v>
      </c>
      <c r="V89" s="100">
        <f t="shared" si="3"/>
        <v>15</v>
      </c>
      <c r="W89" s="100">
        <f t="shared" si="3"/>
        <v>17</v>
      </c>
      <c r="X89" s="100">
        <f t="shared" si="3"/>
        <v>13</v>
      </c>
      <c r="Y89" s="100">
        <f t="shared" si="3"/>
        <v>16</v>
      </c>
      <c r="Z89" s="100">
        <f t="shared" si="3"/>
        <v>15</v>
      </c>
      <c r="AA89" s="100">
        <f t="shared" si="3"/>
        <v>21</v>
      </c>
      <c r="AB89" s="100">
        <f t="shared" si="3"/>
        <v>17</v>
      </c>
      <c r="AC89" s="100">
        <f t="shared" si="3"/>
        <v>19</v>
      </c>
      <c r="AD89" s="100">
        <f t="shared" si="3"/>
        <v>17</v>
      </c>
      <c r="AE89" s="100">
        <f t="shared" si="3"/>
        <v>20</v>
      </c>
      <c r="AF89" s="100">
        <f t="shared" si="3"/>
        <v>15</v>
      </c>
      <c r="AG89" s="100">
        <f t="shared" si="3"/>
        <v>13</v>
      </c>
      <c r="AH89" s="100">
        <f t="shared" si="3"/>
        <v>17</v>
      </c>
      <c r="AI89" s="100">
        <f t="shared" si="3"/>
        <v>22</v>
      </c>
    </row>
    <row r="90" spans="2:35" ht="12.75">
      <c r="B90" s="101" t="s">
        <v>23</v>
      </c>
      <c r="C90" s="100">
        <f t="shared" si="4"/>
        <v>0</v>
      </c>
      <c r="D90" s="100">
        <f t="shared" si="3"/>
        <v>0</v>
      </c>
      <c r="E90" s="100">
        <f t="shared" si="3"/>
        <v>0</v>
      </c>
      <c r="F90" s="100">
        <f t="shared" si="3"/>
        <v>0</v>
      </c>
      <c r="G90" s="100">
        <f t="shared" si="3"/>
        <v>0</v>
      </c>
      <c r="H90" s="100">
        <f t="shared" si="3"/>
        <v>0</v>
      </c>
      <c r="I90" s="100">
        <f t="shared" si="3"/>
        <v>0</v>
      </c>
      <c r="J90" s="100">
        <f t="shared" si="3"/>
        <v>0</v>
      </c>
      <c r="K90" s="100">
        <f t="shared" si="3"/>
        <v>0</v>
      </c>
      <c r="L90" s="100">
        <f t="shared" si="3"/>
        <v>0</v>
      </c>
      <c r="M90" s="100">
        <f t="shared" si="3"/>
        <v>0</v>
      </c>
      <c r="N90" s="100">
        <f t="shared" si="3"/>
        <v>0</v>
      </c>
      <c r="O90" s="100">
        <f t="shared" si="3"/>
        <v>0</v>
      </c>
      <c r="P90" s="100">
        <f t="shared" si="3"/>
        <v>0</v>
      </c>
      <c r="Q90" s="100">
        <f t="shared" si="3"/>
        <v>0</v>
      </c>
      <c r="R90" s="100">
        <f t="shared" si="3"/>
        <v>0</v>
      </c>
      <c r="S90" s="100">
        <f t="shared" si="3"/>
        <v>0</v>
      </c>
      <c r="T90" s="100">
        <f t="shared" si="3"/>
        <v>0</v>
      </c>
      <c r="U90" s="100">
        <f t="shared" si="3"/>
        <v>0</v>
      </c>
      <c r="V90" s="100">
        <f t="shared" si="3"/>
        <v>0</v>
      </c>
      <c r="W90" s="100">
        <f t="shared" si="3"/>
        <v>0</v>
      </c>
      <c r="X90" s="100">
        <f t="shared" si="3"/>
        <v>0</v>
      </c>
      <c r="Y90" s="100">
        <f t="shared" si="3"/>
        <v>47</v>
      </c>
      <c r="Z90" s="100">
        <f t="shared" si="3"/>
        <v>92</v>
      </c>
      <c r="AA90" s="100">
        <f t="shared" si="3"/>
        <v>157</v>
      </c>
      <c r="AB90" s="100">
        <f t="shared" si="3"/>
        <v>200</v>
      </c>
      <c r="AC90" s="100">
        <f t="shared" si="3"/>
        <v>209</v>
      </c>
      <c r="AD90" s="100">
        <f t="shared" si="3"/>
        <v>252</v>
      </c>
      <c r="AE90" s="100">
        <f t="shared" si="3"/>
        <v>245</v>
      </c>
      <c r="AF90" s="100">
        <f t="shared" si="3"/>
        <v>273</v>
      </c>
      <c r="AG90" s="100">
        <f t="shared" si="3"/>
        <v>271</v>
      </c>
      <c r="AH90" s="100">
        <f t="shared" si="3"/>
        <v>284</v>
      </c>
      <c r="AI90" s="100">
        <f t="shared" si="3"/>
        <v>323</v>
      </c>
    </row>
    <row r="91" spans="2:35" ht="12.75">
      <c r="B91" s="101" t="s">
        <v>24</v>
      </c>
      <c r="C91" s="100">
        <f t="shared" si="4"/>
        <v>457</v>
      </c>
      <c r="D91" s="100">
        <f t="shared" si="3"/>
        <v>565</v>
      </c>
      <c r="E91" s="100">
        <f t="shared" si="3"/>
        <v>505</v>
      </c>
      <c r="F91" s="100">
        <f t="shared" si="3"/>
        <v>531</v>
      </c>
      <c r="G91" s="100">
        <f t="shared" si="3"/>
        <v>523</v>
      </c>
      <c r="H91" s="100">
        <f t="shared" si="3"/>
        <v>524</v>
      </c>
      <c r="I91" s="100">
        <f t="shared" si="3"/>
        <v>601</v>
      </c>
      <c r="J91" s="100">
        <f t="shared" si="3"/>
        <v>576</v>
      </c>
      <c r="K91" s="100">
        <f t="shared" si="3"/>
        <v>579</v>
      </c>
      <c r="L91" s="100">
        <f t="shared" si="3"/>
        <v>556</v>
      </c>
      <c r="M91" s="100">
        <f t="shared" si="3"/>
        <v>634</v>
      </c>
      <c r="N91" s="100">
        <f t="shared" si="3"/>
        <v>604</v>
      </c>
      <c r="O91" s="100">
        <f t="shared" si="3"/>
        <v>623</v>
      </c>
      <c r="P91" s="100">
        <f t="shared" si="3"/>
        <v>594</v>
      </c>
      <c r="Q91" s="100">
        <f t="shared" si="3"/>
        <v>571</v>
      </c>
      <c r="R91" s="100">
        <f t="shared" si="3"/>
        <v>601</v>
      </c>
      <c r="S91" s="100">
        <f t="shared" si="3"/>
        <v>590</v>
      </c>
      <c r="T91" s="100">
        <f t="shared" si="3"/>
        <v>566</v>
      </c>
      <c r="U91" s="100">
        <f t="shared" si="3"/>
        <v>626</v>
      </c>
      <c r="V91" s="100">
        <f t="shared" si="3"/>
        <v>582</v>
      </c>
      <c r="W91" s="100">
        <f t="shared" si="3"/>
        <v>574</v>
      </c>
      <c r="X91" s="100">
        <f t="shared" si="3"/>
        <v>512</v>
      </c>
      <c r="Y91" s="100">
        <f t="shared" si="3"/>
        <v>566</v>
      </c>
      <c r="Z91" s="100">
        <f t="shared" si="3"/>
        <v>422</v>
      </c>
      <c r="AA91" s="100">
        <f t="shared" si="3"/>
        <v>461</v>
      </c>
      <c r="AB91" s="100">
        <f t="shared" si="3"/>
        <v>408</v>
      </c>
      <c r="AC91" s="100">
        <f t="shared" si="3"/>
        <v>337</v>
      </c>
      <c r="AD91" s="100">
        <f t="shared" si="3"/>
        <v>376</v>
      </c>
      <c r="AE91" s="100">
        <f t="shared" si="3"/>
        <v>333</v>
      </c>
      <c r="AF91" s="100">
        <f t="shared" si="3"/>
        <v>346</v>
      </c>
      <c r="AG91" s="100">
        <f t="shared" si="3"/>
        <v>316</v>
      </c>
      <c r="AH91" s="100">
        <f t="shared" si="3"/>
        <v>279</v>
      </c>
      <c r="AI91" s="100">
        <f t="shared" si="3"/>
        <v>317</v>
      </c>
    </row>
    <row r="92" spans="2:35" ht="12.75">
      <c r="B92" s="101" t="s">
        <v>25</v>
      </c>
      <c r="C92" s="100">
        <f t="shared" si="4"/>
        <v>347</v>
      </c>
      <c r="D92" s="100">
        <f t="shared" si="3"/>
        <v>413</v>
      </c>
      <c r="E92" s="100">
        <f t="shared" si="3"/>
        <v>360</v>
      </c>
      <c r="F92" s="100">
        <f t="shared" si="3"/>
        <v>378</v>
      </c>
      <c r="G92" s="100">
        <f t="shared" si="3"/>
        <v>374</v>
      </c>
      <c r="H92" s="100">
        <f t="shared" si="3"/>
        <v>385</v>
      </c>
      <c r="I92" s="100">
        <f t="shared" si="3"/>
        <v>401</v>
      </c>
      <c r="J92" s="100">
        <f t="shared" si="3"/>
        <v>388</v>
      </c>
      <c r="K92" s="100">
        <f t="shared" si="3"/>
        <v>341</v>
      </c>
      <c r="L92" s="100">
        <f t="shared" si="3"/>
        <v>308</v>
      </c>
      <c r="M92" s="100">
        <f t="shared" si="3"/>
        <v>402</v>
      </c>
      <c r="N92" s="100">
        <f t="shared" si="3"/>
        <v>362</v>
      </c>
      <c r="O92" s="100">
        <f t="shared" si="3"/>
        <v>362</v>
      </c>
      <c r="P92" s="100">
        <f t="shared" si="3"/>
        <v>369</v>
      </c>
      <c r="Q92" s="100">
        <f t="shared" si="3"/>
        <v>342</v>
      </c>
      <c r="R92" s="100">
        <f t="shared" si="3"/>
        <v>372</v>
      </c>
      <c r="S92" s="100">
        <f t="shared" si="3"/>
        <v>381</v>
      </c>
      <c r="T92" s="100">
        <f t="shared" si="3"/>
        <v>368</v>
      </c>
      <c r="U92" s="100">
        <f t="shared" si="3"/>
        <v>352</v>
      </c>
      <c r="V92" s="100">
        <f t="shared" si="3"/>
        <v>382</v>
      </c>
      <c r="W92" s="100">
        <f t="shared" si="3"/>
        <v>347</v>
      </c>
      <c r="X92" s="100">
        <f t="shared" si="3"/>
        <v>351</v>
      </c>
      <c r="Y92" s="100">
        <f t="shared" si="3"/>
        <v>349</v>
      </c>
      <c r="Z92" s="100">
        <f t="shared" si="3"/>
        <v>312</v>
      </c>
      <c r="AA92" s="100">
        <f t="shared" si="3"/>
        <v>353</v>
      </c>
      <c r="AB92" s="100">
        <f t="shared" si="3"/>
        <v>330</v>
      </c>
      <c r="AC92" s="100">
        <f t="shared" si="3"/>
        <v>291</v>
      </c>
      <c r="AD92" s="100">
        <f t="shared" si="3"/>
        <v>310</v>
      </c>
      <c r="AE92" s="100">
        <f t="shared" si="3"/>
        <v>316</v>
      </c>
      <c r="AF92" s="100">
        <f t="shared" si="3"/>
        <v>360</v>
      </c>
      <c r="AG92" s="100">
        <f t="shared" si="3"/>
        <v>311</v>
      </c>
      <c r="AH92" s="100">
        <f t="shared" si="3"/>
        <v>297</v>
      </c>
      <c r="AI92" s="100">
        <f t="shared" si="3"/>
        <v>320</v>
      </c>
    </row>
    <row r="93" spans="2:35" ht="12.75">
      <c r="B93" s="101" t="s">
        <v>26</v>
      </c>
      <c r="C93" s="100">
        <f t="shared" si="4"/>
        <v>119</v>
      </c>
      <c r="D93" s="100">
        <f t="shared" si="3"/>
        <v>164</v>
      </c>
      <c r="E93" s="100">
        <f t="shared" si="3"/>
        <v>149</v>
      </c>
      <c r="F93" s="100">
        <f t="shared" si="3"/>
        <v>116</v>
      </c>
      <c r="G93" s="100">
        <f t="shared" si="3"/>
        <v>135</v>
      </c>
      <c r="H93" s="100">
        <f t="shared" si="3"/>
        <v>125</v>
      </c>
      <c r="I93" s="100">
        <f t="shared" si="3"/>
        <v>128</v>
      </c>
      <c r="J93" s="100">
        <f t="shared" si="3"/>
        <v>140</v>
      </c>
      <c r="K93" s="100">
        <f t="shared" si="3"/>
        <v>121</v>
      </c>
      <c r="L93" s="100">
        <f t="shared" si="3"/>
        <v>121</v>
      </c>
      <c r="M93" s="100">
        <f t="shared" si="3"/>
        <v>132</v>
      </c>
      <c r="N93" s="100">
        <f t="shared" si="3"/>
        <v>109</v>
      </c>
      <c r="O93" s="100">
        <f t="shared" si="3"/>
        <v>135</v>
      </c>
      <c r="P93" s="100">
        <f t="shared" si="3"/>
        <v>118</v>
      </c>
      <c r="Q93" s="100">
        <f t="shared" si="3"/>
        <v>110</v>
      </c>
      <c r="R93" s="100">
        <f t="shared" si="3"/>
        <v>125</v>
      </c>
      <c r="S93" s="100">
        <f t="shared" si="3"/>
        <v>132</v>
      </c>
      <c r="T93" s="100">
        <f t="shared" si="3"/>
        <v>133</v>
      </c>
      <c r="U93" s="100">
        <f t="shared" si="3"/>
        <v>119</v>
      </c>
      <c r="V93" s="100">
        <f t="shared" si="3"/>
        <v>129</v>
      </c>
      <c r="W93" s="100">
        <f t="shared" si="3"/>
        <v>130</v>
      </c>
      <c r="X93" s="100">
        <f t="shared" si="3"/>
        <v>112</v>
      </c>
      <c r="Y93" s="100">
        <f t="shared" si="3"/>
        <v>130</v>
      </c>
      <c r="Z93" s="100">
        <f t="shared" si="3"/>
        <v>109</v>
      </c>
      <c r="AA93" s="100">
        <f t="shared" si="3"/>
        <v>112</v>
      </c>
      <c r="AB93" s="100">
        <f t="shared" si="3"/>
        <v>116</v>
      </c>
      <c r="AC93" s="100">
        <f t="shared" si="3"/>
        <v>99</v>
      </c>
      <c r="AD93" s="100">
        <f t="shared" si="3"/>
        <v>117</v>
      </c>
      <c r="AE93" s="100">
        <f t="shared" si="3"/>
        <v>106</v>
      </c>
      <c r="AF93" s="100">
        <f t="shared" si="3"/>
        <v>121</v>
      </c>
      <c r="AG93" s="100">
        <f t="shared" si="3"/>
        <v>108</v>
      </c>
      <c r="AH93" s="100">
        <f t="shared" si="3"/>
        <v>89</v>
      </c>
      <c r="AI93" s="100">
        <f t="shared" si="3"/>
        <v>114</v>
      </c>
    </row>
    <row r="94" spans="2:35" ht="12.75">
      <c r="B94" s="101" t="s">
        <v>107</v>
      </c>
      <c r="C94" s="100">
        <f t="shared" si="4"/>
        <v>0</v>
      </c>
      <c r="D94" s="100">
        <f t="shared" si="3"/>
        <v>0</v>
      </c>
      <c r="E94" s="100">
        <f t="shared" si="3"/>
        <v>0</v>
      </c>
      <c r="F94" s="100">
        <f t="shared" si="3"/>
        <v>0</v>
      </c>
      <c r="G94" s="100">
        <f t="shared" si="3"/>
        <v>0</v>
      </c>
      <c r="H94" s="100">
        <f t="shared" si="3"/>
        <v>0</v>
      </c>
      <c r="I94" s="100">
        <f t="shared" si="3"/>
        <v>0</v>
      </c>
      <c r="J94" s="100">
        <f t="shared" si="3"/>
        <v>0</v>
      </c>
      <c r="K94" s="100">
        <f t="shared" si="3"/>
        <v>0</v>
      </c>
      <c r="L94" s="100">
        <f t="shared" si="3"/>
        <v>0</v>
      </c>
      <c r="M94" s="100">
        <f t="shared" si="3"/>
        <v>0</v>
      </c>
      <c r="N94" s="100">
        <f t="shared" si="3"/>
        <v>0</v>
      </c>
      <c r="O94" s="100">
        <f t="shared" si="3"/>
        <v>0</v>
      </c>
      <c r="P94" s="100">
        <f t="shared" si="3"/>
        <v>0</v>
      </c>
      <c r="Q94" s="100">
        <f t="shared" si="3"/>
        <v>0</v>
      </c>
      <c r="R94" s="100">
        <f t="shared" si="3"/>
        <v>0</v>
      </c>
      <c r="S94" s="100">
        <f t="shared" si="3"/>
        <v>0</v>
      </c>
      <c r="T94" s="100">
        <f t="shared" si="3"/>
        <v>0</v>
      </c>
      <c r="U94" s="100">
        <f t="shared" si="3"/>
        <v>0</v>
      </c>
      <c r="V94" s="100">
        <f t="shared" si="3"/>
        <v>0</v>
      </c>
      <c r="W94" s="100">
        <f t="shared" si="3"/>
        <v>0</v>
      </c>
      <c r="X94" s="100">
        <f t="shared" si="3"/>
        <v>0</v>
      </c>
      <c r="Y94" s="100">
        <f t="shared" si="3"/>
        <v>0</v>
      </c>
      <c r="Z94" s="100">
        <f t="shared" si="3"/>
        <v>0</v>
      </c>
      <c r="AA94" s="100">
        <f aca="true" t="shared" si="5" ref="AA94:AI94">IF(ISERROR(AA63),0,AA63)</f>
        <v>0</v>
      </c>
      <c r="AB94" s="100">
        <f t="shared" si="5"/>
        <v>0</v>
      </c>
      <c r="AC94" s="100">
        <f t="shared" si="5"/>
        <v>0</v>
      </c>
      <c r="AD94" s="100">
        <f t="shared" si="5"/>
        <v>0</v>
      </c>
      <c r="AE94" s="100">
        <f t="shared" si="5"/>
        <v>0</v>
      </c>
      <c r="AF94" s="100">
        <f t="shared" si="5"/>
        <v>0</v>
      </c>
      <c r="AG94" s="100">
        <f t="shared" si="5"/>
        <v>0</v>
      </c>
      <c r="AH94" s="100">
        <f t="shared" si="5"/>
        <v>0</v>
      </c>
      <c r="AI94" s="100">
        <f t="shared" si="5"/>
        <v>5</v>
      </c>
    </row>
    <row r="95" spans="2:31" ht="12.75">
      <c r="B95" s="83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</row>
    <row r="96" spans="2:35" ht="13.5" thickBot="1">
      <c r="B96" s="46" t="s">
        <v>0</v>
      </c>
      <c r="C96" s="47">
        <v>38108</v>
      </c>
      <c r="D96" s="47">
        <v>38139</v>
      </c>
      <c r="E96" s="47">
        <v>38169</v>
      </c>
      <c r="F96" s="47">
        <v>38200</v>
      </c>
      <c r="G96" s="47">
        <v>38231</v>
      </c>
      <c r="H96" s="47">
        <v>38261</v>
      </c>
      <c r="I96" s="47">
        <v>38292</v>
      </c>
      <c r="J96" s="47">
        <v>38322</v>
      </c>
      <c r="K96" s="47">
        <v>38353</v>
      </c>
      <c r="L96" s="47">
        <v>38384</v>
      </c>
      <c r="M96" s="47">
        <v>38412</v>
      </c>
      <c r="N96" s="47">
        <v>38443</v>
      </c>
      <c r="O96" s="47">
        <v>38473</v>
      </c>
      <c r="P96" s="47">
        <v>38504</v>
      </c>
      <c r="Q96" s="47">
        <v>38534</v>
      </c>
      <c r="R96" s="47">
        <v>38565</v>
      </c>
      <c r="S96" s="47">
        <v>38596</v>
      </c>
      <c r="T96" s="47">
        <v>38626</v>
      </c>
      <c r="U96" s="47">
        <v>38657</v>
      </c>
      <c r="V96" s="47">
        <v>38687</v>
      </c>
      <c r="W96" s="47">
        <v>38718</v>
      </c>
      <c r="X96" s="47">
        <v>38749</v>
      </c>
      <c r="Y96" s="47">
        <v>38777</v>
      </c>
      <c r="Z96" s="47">
        <v>38808</v>
      </c>
      <c r="AA96" s="47">
        <v>38838</v>
      </c>
      <c r="AB96" s="47">
        <v>38869</v>
      </c>
      <c r="AC96" s="47">
        <v>38899</v>
      </c>
      <c r="AD96" s="47">
        <v>38930</v>
      </c>
      <c r="AE96" s="47">
        <v>38961</v>
      </c>
      <c r="AF96" s="47">
        <v>38991</v>
      </c>
      <c r="AG96" s="47">
        <v>39022</v>
      </c>
      <c r="AH96" s="47">
        <v>39052</v>
      </c>
      <c r="AI96" s="47">
        <v>39083</v>
      </c>
    </row>
    <row r="97" spans="2:35" ht="13.5" thickTop="1">
      <c r="B97" s="40" t="s">
        <v>27</v>
      </c>
      <c r="C97" s="41">
        <f>SUM(C66:C68)</f>
        <v>605</v>
      </c>
      <c r="D97" s="41">
        <f aca="true" t="shared" si="6" ref="D97:AI97">SUM(D66:D68)</f>
        <v>760</v>
      </c>
      <c r="E97" s="41">
        <f t="shared" si="6"/>
        <v>689</v>
      </c>
      <c r="F97" s="41">
        <f t="shared" si="6"/>
        <v>712</v>
      </c>
      <c r="G97" s="41">
        <f t="shared" si="6"/>
        <v>678</v>
      </c>
      <c r="H97" s="41">
        <f t="shared" si="6"/>
        <v>662</v>
      </c>
      <c r="I97" s="41">
        <f t="shared" si="6"/>
        <v>697</v>
      </c>
      <c r="J97" s="41">
        <f t="shared" si="6"/>
        <v>707</v>
      </c>
      <c r="K97" s="41">
        <f t="shared" si="6"/>
        <v>662</v>
      </c>
      <c r="L97" s="41">
        <f t="shared" si="6"/>
        <v>621</v>
      </c>
      <c r="M97" s="41">
        <f t="shared" si="6"/>
        <v>719</v>
      </c>
      <c r="N97" s="41">
        <f t="shared" si="6"/>
        <v>691</v>
      </c>
      <c r="O97" s="41">
        <f t="shared" si="6"/>
        <v>716</v>
      </c>
      <c r="P97" s="41">
        <f t="shared" si="6"/>
        <v>706</v>
      </c>
      <c r="Q97" s="41">
        <f t="shared" si="6"/>
        <v>712</v>
      </c>
      <c r="R97" s="41">
        <f t="shared" si="6"/>
        <v>782</v>
      </c>
      <c r="S97" s="41">
        <f t="shared" si="6"/>
        <v>744</v>
      </c>
      <c r="T97" s="41">
        <f t="shared" si="6"/>
        <v>720</v>
      </c>
      <c r="U97" s="41">
        <f t="shared" si="6"/>
        <v>802</v>
      </c>
      <c r="V97" s="41">
        <f t="shared" si="6"/>
        <v>818</v>
      </c>
      <c r="W97" s="41">
        <f t="shared" si="6"/>
        <v>790</v>
      </c>
      <c r="X97" s="41">
        <f t="shared" si="6"/>
        <v>746</v>
      </c>
      <c r="Y97" s="41">
        <f t="shared" si="6"/>
        <v>825</v>
      </c>
      <c r="Z97" s="41">
        <f t="shared" si="6"/>
        <v>737</v>
      </c>
      <c r="AA97" s="41">
        <f t="shared" si="6"/>
        <v>839</v>
      </c>
      <c r="AB97" s="41">
        <f t="shared" si="6"/>
        <v>813</v>
      </c>
      <c r="AC97" s="41">
        <f t="shared" si="6"/>
        <v>800</v>
      </c>
      <c r="AD97" s="41">
        <f t="shared" si="6"/>
        <v>809</v>
      </c>
      <c r="AE97" s="41">
        <f t="shared" si="6"/>
        <v>775</v>
      </c>
      <c r="AF97" s="41">
        <f t="shared" si="6"/>
        <v>821</v>
      </c>
      <c r="AG97" s="41">
        <f t="shared" si="6"/>
        <v>778</v>
      </c>
      <c r="AH97" s="41">
        <f t="shared" si="6"/>
        <v>773</v>
      </c>
      <c r="AI97" s="41">
        <f t="shared" si="6"/>
        <v>870</v>
      </c>
    </row>
    <row r="98" spans="2:35" ht="12.75">
      <c r="B98" s="33" t="s">
        <v>28</v>
      </c>
      <c r="C98" s="34">
        <f>SUM(C69:C71)</f>
        <v>1271</v>
      </c>
      <c r="D98" s="34">
        <f aca="true" t="shared" si="7" ref="D98:AI98">SUM(D69:D71)</f>
        <v>1518</v>
      </c>
      <c r="E98" s="34">
        <f t="shared" si="7"/>
        <v>1454</v>
      </c>
      <c r="F98" s="34">
        <f t="shared" si="7"/>
        <v>1457</v>
      </c>
      <c r="G98" s="34">
        <f t="shared" si="7"/>
        <v>1412</v>
      </c>
      <c r="H98" s="34">
        <f t="shared" si="7"/>
        <v>1419</v>
      </c>
      <c r="I98" s="34">
        <f t="shared" si="7"/>
        <v>1509</v>
      </c>
      <c r="J98" s="34">
        <f t="shared" si="7"/>
        <v>1530</v>
      </c>
      <c r="K98" s="34">
        <f t="shared" si="7"/>
        <v>1477</v>
      </c>
      <c r="L98" s="34">
        <f t="shared" si="7"/>
        <v>1277</v>
      </c>
      <c r="M98" s="34">
        <f t="shared" si="7"/>
        <v>1605</v>
      </c>
      <c r="N98" s="34">
        <f t="shared" si="7"/>
        <v>1440</v>
      </c>
      <c r="O98" s="34">
        <f t="shared" si="7"/>
        <v>1512</v>
      </c>
      <c r="P98" s="34">
        <f t="shared" si="7"/>
        <v>1498</v>
      </c>
      <c r="Q98" s="34">
        <f t="shared" si="7"/>
        <v>1380</v>
      </c>
      <c r="R98" s="34">
        <f t="shared" si="7"/>
        <v>1450</v>
      </c>
      <c r="S98" s="34">
        <f t="shared" si="7"/>
        <v>1375</v>
      </c>
      <c r="T98" s="34">
        <f t="shared" si="7"/>
        <v>1318</v>
      </c>
      <c r="U98" s="34">
        <f t="shared" si="7"/>
        <v>1381</v>
      </c>
      <c r="V98" s="34">
        <f t="shared" si="7"/>
        <v>1418</v>
      </c>
      <c r="W98" s="34">
        <f t="shared" si="7"/>
        <v>1341</v>
      </c>
      <c r="X98" s="34">
        <f t="shared" si="7"/>
        <v>1274</v>
      </c>
      <c r="Y98" s="34">
        <f t="shared" si="7"/>
        <v>1388</v>
      </c>
      <c r="Z98" s="34">
        <f t="shared" si="7"/>
        <v>1184</v>
      </c>
      <c r="AA98" s="34">
        <f t="shared" si="7"/>
        <v>1403</v>
      </c>
      <c r="AB98" s="34">
        <f t="shared" si="7"/>
        <v>1279</v>
      </c>
      <c r="AC98" s="34">
        <f t="shared" si="7"/>
        <v>1203</v>
      </c>
      <c r="AD98" s="34">
        <f t="shared" si="7"/>
        <v>1292</v>
      </c>
      <c r="AE98" s="34">
        <f t="shared" si="7"/>
        <v>1203</v>
      </c>
      <c r="AF98" s="34">
        <f t="shared" si="7"/>
        <v>1327</v>
      </c>
      <c r="AG98" s="34">
        <f t="shared" si="7"/>
        <v>1236</v>
      </c>
      <c r="AH98" s="34">
        <f t="shared" si="7"/>
        <v>1171</v>
      </c>
      <c r="AI98" s="34">
        <f t="shared" si="7"/>
        <v>1407</v>
      </c>
    </row>
    <row r="99" spans="2:35" ht="12.75">
      <c r="B99" s="33" t="s">
        <v>54</v>
      </c>
      <c r="C99" s="34">
        <f>C72</f>
        <v>0</v>
      </c>
      <c r="D99" s="34">
        <f aca="true" t="shared" si="8" ref="D99:AI99">D72</f>
        <v>0</v>
      </c>
      <c r="E99" s="34">
        <f t="shared" si="8"/>
        <v>0</v>
      </c>
      <c r="F99" s="34">
        <f t="shared" si="8"/>
        <v>0</v>
      </c>
      <c r="G99" s="34">
        <f t="shared" si="8"/>
        <v>0</v>
      </c>
      <c r="H99" s="34">
        <f t="shared" si="8"/>
        <v>0</v>
      </c>
      <c r="I99" s="34">
        <f t="shared" si="8"/>
        <v>0</v>
      </c>
      <c r="J99" s="34">
        <f t="shared" si="8"/>
        <v>0</v>
      </c>
      <c r="K99" s="34">
        <f t="shared" si="8"/>
        <v>0</v>
      </c>
      <c r="L99" s="34">
        <f t="shared" si="8"/>
        <v>0</v>
      </c>
      <c r="M99" s="34">
        <f t="shared" si="8"/>
        <v>0</v>
      </c>
      <c r="N99" s="34">
        <f t="shared" si="8"/>
        <v>0</v>
      </c>
      <c r="O99" s="34">
        <f t="shared" si="8"/>
        <v>0</v>
      </c>
      <c r="P99" s="34">
        <f t="shared" si="8"/>
        <v>0</v>
      </c>
      <c r="Q99" s="34">
        <f t="shared" si="8"/>
        <v>0</v>
      </c>
      <c r="R99" s="34">
        <f t="shared" si="8"/>
        <v>0</v>
      </c>
      <c r="S99" s="34">
        <f t="shared" si="8"/>
        <v>0</v>
      </c>
      <c r="T99" s="34">
        <f t="shared" si="8"/>
        <v>0</v>
      </c>
      <c r="U99" s="34">
        <f t="shared" si="8"/>
        <v>0</v>
      </c>
      <c r="V99" s="34">
        <f t="shared" si="8"/>
        <v>0</v>
      </c>
      <c r="W99" s="34">
        <f t="shared" si="8"/>
        <v>0</v>
      </c>
      <c r="X99" s="34">
        <f t="shared" si="8"/>
        <v>0</v>
      </c>
      <c r="Y99" s="34">
        <f t="shared" si="8"/>
        <v>0</v>
      </c>
      <c r="Z99" s="34">
        <f t="shared" si="8"/>
        <v>0</v>
      </c>
      <c r="AA99" s="34">
        <f t="shared" si="8"/>
        <v>0</v>
      </c>
      <c r="AB99" s="34">
        <f t="shared" si="8"/>
        <v>5</v>
      </c>
      <c r="AC99" s="34">
        <f t="shared" si="8"/>
        <v>7</v>
      </c>
      <c r="AD99" s="34">
        <f t="shared" si="8"/>
        <v>13</v>
      </c>
      <c r="AE99" s="34">
        <f t="shared" si="8"/>
        <v>13</v>
      </c>
      <c r="AF99" s="34">
        <f t="shared" si="8"/>
        <v>29</v>
      </c>
      <c r="AG99" s="34">
        <f t="shared" si="8"/>
        <v>25</v>
      </c>
      <c r="AH99" s="34">
        <f t="shared" si="8"/>
        <v>36</v>
      </c>
      <c r="AI99" s="34">
        <f t="shared" si="8"/>
        <v>46</v>
      </c>
    </row>
    <row r="100" spans="2:35" ht="12.75">
      <c r="B100" s="33" t="s">
        <v>29</v>
      </c>
      <c r="C100" s="34">
        <f>SUM(C73:C75)</f>
        <v>229</v>
      </c>
      <c r="D100" s="34">
        <f aca="true" t="shared" si="9" ref="D100:AI100">SUM(D73:D75)</f>
        <v>269</v>
      </c>
      <c r="E100" s="34">
        <f t="shared" si="9"/>
        <v>251</v>
      </c>
      <c r="F100" s="34">
        <f t="shared" si="9"/>
        <v>251</v>
      </c>
      <c r="G100" s="34">
        <f t="shared" si="9"/>
        <v>229</v>
      </c>
      <c r="H100" s="34">
        <f t="shared" si="9"/>
        <v>236</v>
      </c>
      <c r="I100" s="34">
        <f t="shared" si="9"/>
        <v>243</v>
      </c>
      <c r="J100" s="34">
        <f t="shared" si="9"/>
        <v>247</v>
      </c>
      <c r="K100" s="34">
        <f t="shared" si="9"/>
        <v>249</v>
      </c>
      <c r="L100" s="34">
        <f t="shared" si="9"/>
        <v>246</v>
      </c>
      <c r="M100" s="34">
        <f t="shared" si="9"/>
        <v>253</v>
      </c>
      <c r="N100" s="34">
        <f t="shared" si="9"/>
        <v>265</v>
      </c>
      <c r="O100" s="34">
        <f t="shared" si="9"/>
        <v>262</v>
      </c>
      <c r="P100" s="34">
        <f t="shared" si="9"/>
        <v>259</v>
      </c>
      <c r="Q100" s="34">
        <f t="shared" si="9"/>
        <v>242</v>
      </c>
      <c r="R100" s="34">
        <f t="shared" si="9"/>
        <v>272</v>
      </c>
      <c r="S100" s="34">
        <f t="shared" si="9"/>
        <v>240</v>
      </c>
      <c r="T100" s="34">
        <f t="shared" si="9"/>
        <v>247</v>
      </c>
      <c r="U100" s="34">
        <f t="shared" si="9"/>
        <v>250</v>
      </c>
      <c r="V100" s="34">
        <f t="shared" si="9"/>
        <v>258</v>
      </c>
      <c r="W100" s="34">
        <f t="shared" si="9"/>
        <v>265</v>
      </c>
      <c r="X100" s="34">
        <f t="shared" si="9"/>
        <v>221</v>
      </c>
      <c r="Y100" s="34">
        <f t="shared" si="9"/>
        <v>261</v>
      </c>
      <c r="Z100" s="34">
        <f t="shared" si="9"/>
        <v>206</v>
      </c>
      <c r="AA100" s="34">
        <f t="shared" si="9"/>
        <v>263</v>
      </c>
      <c r="AB100" s="34">
        <f t="shared" si="9"/>
        <v>248</v>
      </c>
      <c r="AC100" s="34">
        <f t="shared" si="9"/>
        <v>225</v>
      </c>
      <c r="AD100" s="34">
        <f t="shared" si="9"/>
        <v>241</v>
      </c>
      <c r="AE100" s="34">
        <f t="shared" si="9"/>
        <v>235</v>
      </c>
      <c r="AF100" s="34">
        <f t="shared" si="9"/>
        <v>241</v>
      </c>
      <c r="AG100" s="34">
        <f t="shared" si="9"/>
        <v>236</v>
      </c>
      <c r="AH100" s="34">
        <f t="shared" si="9"/>
        <v>221</v>
      </c>
      <c r="AI100" s="34">
        <f t="shared" si="9"/>
        <v>240</v>
      </c>
    </row>
    <row r="101" spans="2:35" ht="12.75">
      <c r="B101" s="33" t="s">
        <v>30</v>
      </c>
      <c r="C101" s="34">
        <f>SUM(C76:C79)</f>
        <v>834</v>
      </c>
      <c r="D101" s="34">
        <f aca="true" t="shared" si="10" ref="D101:AI101">SUM(D76:D79)</f>
        <v>994</v>
      </c>
      <c r="E101" s="34">
        <f t="shared" si="10"/>
        <v>897</v>
      </c>
      <c r="F101" s="34">
        <f t="shared" si="10"/>
        <v>958</v>
      </c>
      <c r="G101" s="34">
        <f t="shared" si="10"/>
        <v>938</v>
      </c>
      <c r="H101" s="34">
        <f t="shared" si="10"/>
        <v>917</v>
      </c>
      <c r="I101" s="34">
        <f t="shared" si="10"/>
        <v>995</v>
      </c>
      <c r="J101" s="34">
        <f t="shared" si="10"/>
        <v>1002</v>
      </c>
      <c r="K101" s="34">
        <f t="shared" si="10"/>
        <v>1000</v>
      </c>
      <c r="L101" s="34">
        <f t="shared" si="10"/>
        <v>928</v>
      </c>
      <c r="M101" s="34">
        <f t="shared" si="10"/>
        <v>1069</v>
      </c>
      <c r="N101" s="34">
        <f t="shared" si="10"/>
        <v>1046</v>
      </c>
      <c r="O101" s="34">
        <f t="shared" si="10"/>
        <v>1069</v>
      </c>
      <c r="P101" s="34">
        <f t="shared" si="10"/>
        <v>1057</v>
      </c>
      <c r="Q101" s="34">
        <f t="shared" si="10"/>
        <v>980</v>
      </c>
      <c r="R101" s="34">
        <f t="shared" si="10"/>
        <v>1018</v>
      </c>
      <c r="S101" s="34">
        <f t="shared" si="10"/>
        <v>1018</v>
      </c>
      <c r="T101" s="34">
        <f t="shared" si="10"/>
        <v>951</v>
      </c>
      <c r="U101" s="34">
        <f t="shared" si="10"/>
        <v>1040</v>
      </c>
      <c r="V101" s="34">
        <f t="shared" si="10"/>
        <v>951</v>
      </c>
      <c r="W101" s="34">
        <f t="shared" si="10"/>
        <v>1010</v>
      </c>
      <c r="X101" s="34">
        <f t="shared" si="10"/>
        <v>912</v>
      </c>
      <c r="Y101" s="34">
        <f t="shared" si="10"/>
        <v>1027</v>
      </c>
      <c r="Z101" s="34">
        <f t="shared" si="10"/>
        <v>887</v>
      </c>
      <c r="AA101" s="34">
        <f t="shared" si="10"/>
        <v>1039</v>
      </c>
      <c r="AB101" s="34">
        <f t="shared" si="10"/>
        <v>1014</v>
      </c>
      <c r="AC101" s="34">
        <f t="shared" si="10"/>
        <v>964</v>
      </c>
      <c r="AD101" s="34">
        <f t="shared" si="10"/>
        <v>1033</v>
      </c>
      <c r="AE101" s="34">
        <f t="shared" si="10"/>
        <v>967</v>
      </c>
      <c r="AF101" s="34">
        <f t="shared" si="10"/>
        <v>1047</v>
      </c>
      <c r="AG101" s="34">
        <f t="shared" si="10"/>
        <v>955</v>
      </c>
      <c r="AH101" s="34">
        <f t="shared" si="10"/>
        <v>961</v>
      </c>
      <c r="AI101" s="34">
        <f t="shared" si="10"/>
        <v>1105</v>
      </c>
    </row>
    <row r="102" spans="2:35" ht="12.75">
      <c r="B102" s="33" t="s">
        <v>31</v>
      </c>
      <c r="C102" s="34">
        <f>SUM(C80:C82)</f>
        <v>66</v>
      </c>
      <c r="D102" s="34">
        <f aca="true" t="shared" si="11" ref="D102:AI102">SUM(D80:D82)</f>
        <v>138</v>
      </c>
      <c r="E102" s="34">
        <f t="shared" si="11"/>
        <v>150</v>
      </c>
      <c r="F102" s="34">
        <f t="shared" si="11"/>
        <v>131</v>
      </c>
      <c r="G102" s="34">
        <f t="shared" si="11"/>
        <v>148</v>
      </c>
      <c r="H102" s="34">
        <f t="shared" si="11"/>
        <v>154</v>
      </c>
      <c r="I102" s="34">
        <f t="shared" si="11"/>
        <v>169</v>
      </c>
      <c r="J102" s="34">
        <f t="shared" si="11"/>
        <v>133</v>
      </c>
      <c r="K102" s="34">
        <f t="shared" si="11"/>
        <v>150</v>
      </c>
      <c r="L102" s="34">
        <f t="shared" si="11"/>
        <v>146</v>
      </c>
      <c r="M102" s="34">
        <f t="shared" si="11"/>
        <v>189</v>
      </c>
      <c r="N102" s="34">
        <f t="shared" si="11"/>
        <v>191</v>
      </c>
      <c r="O102" s="34">
        <f t="shared" si="11"/>
        <v>220</v>
      </c>
      <c r="P102" s="34">
        <f t="shared" si="11"/>
        <v>225</v>
      </c>
      <c r="Q102" s="34">
        <f t="shared" si="11"/>
        <v>197</v>
      </c>
      <c r="R102" s="34">
        <f t="shared" si="11"/>
        <v>231</v>
      </c>
      <c r="S102" s="34">
        <f t="shared" si="11"/>
        <v>221</v>
      </c>
      <c r="T102" s="34">
        <f t="shared" si="11"/>
        <v>239</v>
      </c>
      <c r="U102" s="34">
        <f t="shared" si="11"/>
        <v>246</v>
      </c>
      <c r="V102" s="34">
        <f t="shared" si="11"/>
        <v>243</v>
      </c>
      <c r="W102" s="34">
        <f t="shared" si="11"/>
        <v>256</v>
      </c>
      <c r="X102" s="34">
        <f t="shared" si="11"/>
        <v>292</v>
      </c>
      <c r="Y102" s="34">
        <f t="shared" si="11"/>
        <v>379</v>
      </c>
      <c r="Z102" s="34">
        <f t="shared" si="11"/>
        <v>354</v>
      </c>
      <c r="AA102" s="34">
        <f t="shared" si="11"/>
        <v>433</v>
      </c>
      <c r="AB102" s="34">
        <f t="shared" si="11"/>
        <v>446</v>
      </c>
      <c r="AC102" s="34">
        <f t="shared" si="11"/>
        <v>415</v>
      </c>
      <c r="AD102" s="34">
        <f t="shared" si="11"/>
        <v>458</v>
      </c>
      <c r="AE102" s="34">
        <f t="shared" si="11"/>
        <v>444</v>
      </c>
      <c r="AF102" s="34">
        <f t="shared" si="11"/>
        <v>545</v>
      </c>
      <c r="AG102" s="34">
        <f t="shared" si="11"/>
        <v>510</v>
      </c>
      <c r="AH102" s="34">
        <f t="shared" si="11"/>
        <v>480</v>
      </c>
      <c r="AI102" s="34">
        <f t="shared" si="11"/>
        <v>583</v>
      </c>
    </row>
    <row r="103" spans="2:35" ht="12.75">
      <c r="B103" s="33" t="s">
        <v>32</v>
      </c>
      <c r="C103" s="34">
        <f>C83</f>
        <v>0</v>
      </c>
      <c r="D103" s="34">
        <f aca="true" t="shared" si="12" ref="D103:AI103">D83</f>
        <v>0</v>
      </c>
      <c r="E103" s="34">
        <f t="shared" si="12"/>
        <v>0</v>
      </c>
      <c r="F103" s="34">
        <f t="shared" si="12"/>
        <v>0</v>
      </c>
      <c r="G103" s="34">
        <f t="shared" si="12"/>
        <v>0</v>
      </c>
      <c r="H103" s="34">
        <f t="shared" si="12"/>
        <v>0</v>
      </c>
      <c r="I103" s="34">
        <f t="shared" si="12"/>
        <v>0</v>
      </c>
      <c r="J103" s="34">
        <f t="shared" si="12"/>
        <v>0</v>
      </c>
      <c r="K103" s="34">
        <f t="shared" si="12"/>
        <v>5</v>
      </c>
      <c r="L103" s="34">
        <f t="shared" si="12"/>
        <v>13</v>
      </c>
      <c r="M103" s="34">
        <f t="shared" si="12"/>
        <v>31</v>
      </c>
      <c r="N103" s="34">
        <f t="shared" si="12"/>
        <v>43</v>
      </c>
      <c r="O103" s="34">
        <f t="shared" si="12"/>
        <v>51</v>
      </c>
      <c r="P103" s="34">
        <f t="shared" si="12"/>
        <v>80</v>
      </c>
      <c r="Q103" s="34">
        <f t="shared" si="12"/>
        <v>71</v>
      </c>
      <c r="R103" s="34">
        <f t="shared" si="12"/>
        <v>87</v>
      </c>
      <c r="S103" s="34">
        <f t="shared" si="12"/>
        <v>111</v>
      </c>
      <c r="T103" s="34">
        <f t="shared" si="12"/>
        <v>115</v>
      </c>
      <c r="U103" s="34">
        <f t="shared" si="12"/>
        <v>112</v>
      </c>
      <c r="V103" s="34">
        <f t="shared" si="12"/>
        <v>135</v>
      </c>
      <c r="W103" s="34">
        <f t="shared" si="12"/>
        <v>141</v>
      </c>
      <c r="X103" s="34">
        <f t="shared" si="12"/>
        <v>159</v>
      </c>
      <c r="Y103" s="34">
        <f t="shared" si="12"/>
        <v>168</v>
      </c>
      <c r="Z103" s="34">
        <f t="shared" si="12"/>
        <v>128</v>
      </c>
      <c r="AA103" s="34">
        <f t="shared" si="12"/>
        <v>162</v>
      </c>
      <c r="AB103" s="34">
        <f t="shared" si="12"/>
        <v>163</v>
      </c>
      <c r="AC103" s="34">
        <f t="shared" si="12"/>
        <v>156</v>
      </c>
      <c r="AD103" s="34">
        <f t="shared" si="12"/>
        <v>159</v>
      </c>
      <c r="AE103" s="34">
        <f t="shared" si="12"/>
        <v>155</v>
      </c>
      <c r="AF103" s="34">
        <f t="shared" si="12"/>
        <v>189</v>
      </c>
      <c r="AG103" s="34">
        <f t="shared" si="12"/>
        <v>179</v>
      </c>
      <c r="AH103" s="34">
        <f t="shared" si="12"/>
        <v>147</v>
      </c>
      <c r="AI103" s="34">
        <f t="shared" si="12"/>
        <v>188</v>
      </c>
    </row>
    <row r="104" spans="2:35" ht="12.75">
      <c r="B104" s="33" t="s">
        <v>33</v>
      </c>
      <c r="C104" s="34">
        <f>SUM(C84:C85)</f>
        <v>0</v>
      </c>
      <c r="D104" s="34">
        <f aca="true" t="shared" si="13" ref="D104:AI104">SUM(D84:D85)</f>
        <v>0</v>
      </c>
      <c r="E104" s="34">
        <f t="shared" si="13"/>
        <v>0</v>
      </c>
      <c r="F104" s="34">
        <f t="shared" si="13"/>
        <v>0</v>
      </c>
      <c r="G104" s="34">
        <f t="shared" si="13"/>
        <v>0</v>
      </c>
      <c r="H104" s="34">
        <f t="shared" si="13"/>
        <v>0</v>
      </c>
      <c r="I104" s="34">
        <f t="shared" si="13"/>
        <v>0</v>
      </c>
      <c r="J104" s="34">
        <f t="shared" si="13"/>
        <v>0</v>
      </c>
      <c r="K104" s="34">
        <f t="shared" si="13"/>
        <v>0</v>
      </c>
      <c r="L104" s="34">
        <f t="shared" si="13"/>
        <v>0</v>
      </c>
      <c r="M104" s="34">
        <f t="shared" si="13"/>
        <v>0</v>
      </c>
      <c r="N104" s="34">
        <f t="shared" si="13"/>
        <v>0</v>
      </c>
      <c r="O104" s="34">
        <f t="shared" si="13"/>
        <v>0</v>
      </c>
      <c r="P104" s="34">
        <f t="shared" si="13"/>
        <v>0</v>
      </c>
      <c r="Q104" s="34">
        <f t="shared" si="13"/>
        <v>0</v>
      </c>
      <c r="R104" s="34">
        <f t="shared" si="13"/>
        <v>0</v>
      </c>
      <c r="S104" s="34">
        <f t="shared" si="13"/>
        <v>0</v>
      </c>
      <c r="T104" s="34">
        <f t="shared" si="13"/>
        <v>0</v>
      </c>
      <c r="U104" s="34">
        <f t="shared" si="13"/>
        <v>0</v>
      </c>
      <c r="V104" s="34">
        <f t="shared" si="13"/>
        <v>0</v>
      </c>
      <c r="W104" s="34">
        <f t="shared" si="13"/>
        <v>2</v>
      </c>
      <c r="X104" s="34">
        <f t="shared" si="13"/>
        <v>16</v>
      </c>
      <c r="Y104" s="34">
        <f t="shared" si="13"/>
        <v>35</v>
      </c>
      <c r="Z104" s="34">
        <f t="shared" si="13"/>
        <v>34</v>
      </c>
      <c r="AA104" s="34">
        <f t="shared" si="13"/>
        <v>52</v>
      </c>
      <c r="AB104" s="34">
        <f t="shared" si="13"/>
        <v>55</v>
      </c>
      <c r="AC104" s="34">
        <f t="shared" si="13"/>
        <v>65</v>
      </c>
      <c r="AD104" s="34">
        <f t="shared" si="13"/>
        <v>65</v>
      </c>
      <c r="AE104" s="34">
        <f t="shared" si="13"/>
        <v>70</v>
      </c>
      <c r="AF104" s="34">
        <f t="shared" si="13"/>
        <v>86</v>
      </c>
      <c r="AG104" s="34">
        <f t="shared" si="13"/>
        <v>70</v>
      </c>
      <c r="AH104" s="34">
        <f t="shared" si="13"/>
        <v>66</v>
      </c>
      <c r="AI104" s="34">
        <f t="shared" si="13"/>
        <v>91</v>
      </c>
    </row>
    <row r="105" spans="2:35" ht="12.75">
      <c r="B105" s="33" t="s">
        <v>34</v>
      </c>
      <c r="C105" s="34">
        <f>C86</f>
        <v>5</v>
      </c>
      <c r="D105" s="34">
        <f aca="true" t="shared" si="14" ref="D105:AI105">D86</f>
        <v>11</v>
      </c>
      <c r="E105" s="34">
        <f t="shared" si="14"/>
        <v>8</v>
      </c>
      <c r="F105" s="34">
        <f t="shared" si="14"/>
        <v>7</v>
      </c>
      <c r="G105" s="34">
        <f t="shared" si="14"/>
        <v>7</v>
      </c>
      <c r="H105" s="34">
        <f t="shared" si="14"/>
        <v>13</v>
      </c>
      <c r="I105" s="34">
        <f t="shared" si="14"/>
        <v>13</v>
      </c>
      <c r="J105" s="34">
        <f t="shared" si="14"/>
        <v>10</v>
      </c>
      <c r="K105" s="34">
        <f t="shared" si="14"/>
        <v>14</v>
      </c>
      <c r="L105" s="34">
        <f t="shared" si="14"/>
        <v>9</v>
      </c>
      <c r="M105" s="34">
        <f t="shared" si="14"/>
        <v>12</v>
      </c>
      <c r="N105" s="34">
        <f t="shared" si="14"/>
        <v>11</v>
      </c>
      <c r="O105" s="34">
        <f t="shared" si="14"/>
        <v>17</v>
      </c>
      <c r="P105" s="34">
        <f t="shared" si="14"/>
        <v>11</v>
      </c>
      <c r="Q105" s="34">
        <f t="shared" si="14"/>
        <v>12</v>
      </c>
      <c r="R105" s="34">
        <f t="shared" si="14"/>
        <v>14</v>
      </c>
      <c r="S105" s="34">
        <f t="shared" si="14"/>
        <v>16</v>
      </c>
      <c r="T105" s="34">
        <f t="shared" si="14"/>
        <v>13</v>
      </c>
      <c r="U105" s="34">
        <f t="shared" si="14"/>
        <v>11</v>
      </c>
      <c r="V105" s="34">
        <f t="shared" si="14"/>
        <v>14</v>
      </c>
      <c r="W105" s="34">
        <f t="shared" si="14"/>
        <v>18</v>
      </c>
      <c r="X105" s="34">
        <f t="shared" si="14"/>
        <v>14</v>
      </c>
      <c r="Y105" s="34">
        <f t="shared" si="14"/>
        <v>10</v>
      </c>
      <c r="Z105" s="34">
        <f t="shared" si="14"/>
        <v>12</v>
      </c>
      <c r="AA105" s="34">
        <f t="shared" si="14"/>
        <v>14</v>
      </c>
      <c r="AB105" s="34">
        <f t="shared" si="14"/>
        <v>15</v>
      </c>
      <c r="AC105" s="34">
        <f t="shared" si="14"/>
        <v>12</v>
      </c>
      <c r="AD105" s="34">
        <f t="shared" si="14"/>
        <v>18</v>
      </c>
      <c r="AE105" s="34">
        <f t="shared" si="14"/>
        <v>16</v>
      </c>
      <c r="AF105" s="34">
        <f t="shared" si="14"/>
        <v>21</v>
      </c>
      <c r="AG105" s="34">
        <f t="shared" si="14"/>
        <v>18</v>
      </c>
      <c r="AH105" s="34">
        <f t="shared" si="14"/>
        <v>12</v>
      </c>
      <c r="AI105" s="34">
        <f t="shared" si="14"/>
        <v>17</v>
      </c>
    </row>
    <row r="106" spans="2:35" ht="12.75">
      <c r="B106" s="33" t="s">
        <v>35</v>
      </c>
      <c r="C106" s="34">
        <f>SUM(C88:C93)</f>
        <v>971</v>
      </c>
      <c r="D106" s="34">
        <f aca="true" t="shared" si="15" ref="D106:AI106">SUM(D88:D93)</f>
        <v>1203</v>
      </c>
      <c r="E106" s="34">
        <f t="shared" si="15"/>
        <v>1077</v>
      </c>
      <c r="F106" s="34">
        <f t="shared" si="15"/>
        <v>1072</v>
      </c>
      <c r="G106" s="34">
        <f t="shared" si="15"/>
        <v>1085</v>
      </c>
      <c r="H106" s="34">
        <f t="shared" si="15"/>
        <v>1080</v>
      </c>
      <c r="I106" s="34">
        <f t="shared" si="15"/>
        <v>1181</v>
      </c>
      <c r="J106" s="34">
        <f t="shared" si="15"/>
        <v>1150</v>
      </c>
      <c r="K106" s="34">
        <f t="shared" si="15"/>
        <v>1092</v>
      </c>
      <c r="L106" s="34">
        <f t="shared" si="15"/>
        <v>1035</v>
      </c>
      <c r="M106" s="34">
        <f t="shared" si="15"/>
        <v>1221</v>
      </c>
      <c r="N106" s="34">
        <f t="shared" si="15"/>
        <v>1121</v>
      </c>
      <c r="O106" s="34">
        <f t="shared" si="15"/>
        <v>1172</v>
      </c>
      <c r="P106" s="34">
        <f t="shared" si="15"/>
        <v>1125</v>
      </c>
      <c r="Q106" s="34">
        <f t="shared" si="15"/>
        <v>1063</v>
      </c>
      <c r="R106" s="34">
        <f t="shared" si="15"/>
        <v>1142</v>
      </c>
      <c r="S106" s="34">
        <f t="shared" si="15"/>
        <v>1156</v>
      </c>
      <c r="T106" s="34">
        <f t="shared" si="15"/>
        <v>1114</v>
      </c>
      <c r="U106" s="34">
        <f t="shared" si="15"/>
        <v>1148</v>
      </c>
      <c r="V106" s="34">
        <f t="shared" si="15"/>
        <v>1148</v>
      </c>
      <c r="W106" s="34">
        <f t="shared" si="15"/>
        <v>1103</v>
      </c>
      <c r="X106" s="34">
        <f t="shared" si="15"/>
        <v>1021</v>
      </c>
      <c r="Y106" s="34">
        <f t="shared" si="15"/>
        <v>1139</v>
      </c>
      <c r="Z106" s="34">
        <f t="shared" si="15"/>
        <v>979</v>
      </c>
      <c r="AA106" s="34">
        <f t="shared" si="15"/>
        <v>1135</v>
      </c>
      <c r="AB106" s="34">
        <f t="shared" si="15"/>
        <v>1097</v>
      </c>
      <c r="AC106" s="34">
        <f t="shared" si="15"/>
        <v>984</v>
      </c>
      <c r="AD106" s="34">
        <f t="shared" si="15"/>
        <v>1106</v>
      </c>
      <c r="AE106" s="34">
        <f t="shared" si="15"/>
        <v>1045</v>
      </c>
      <c r="AF106" s="34">
        <f t="shared" si="15"/>
        <v>1151</v>
      </c>
      <c r="AG106" s="34">
        <f t="shared" si="15"/>
        <v>1049</v>
      </c>
      <c r="AH106" s="34">
        <f t="shared" si="15"/>
        <v>995</v>
      </c>
      <c r="AI106" s="34">
        <f t="shared" si="15"/>
        <v>1124</v>
      </c>
    </row>
    <row r="107" spans="2:35" ht="13.5" thickBot="1">
      <c r="B107" s="35" t="s">
        <v>108</v>
      </c>
      <c r="C107" s="36">
        <f>C94</f>
        <v>0</v>
      </c>
      <c r="D107" s="36">
        <f aca="true" t="shared" si="16" ref="D107:AI107">D94</f>
        <v>0</v>
      </c>
      <c r="E107" s="36">
        <f t="shared" si="16"/>
        <v>0</v>
      </c>
      <c r="F107" s="36">
        <f t="shared" si="16"/>
        <v>0</v>
      </c>
      <c r="G107" s="36">
        <f t="shared" si="16"/>
        <v>0</v>
      </c>
      <c r="H107" s="36">
        <f t="shared" si="16"/>
        <v>0</v>
      </c>
      <c r="I107" s="36">
        <f t="shared" si="16"/>
        <v>0</v>
      </c>
      <c r="J107" s="36">
        <f t="shared" si="16"/>
        <v>0</v>
      </c>
      <c r="K107" s="36">
        <f t="shared" si="16"/>
        <v>0</v>
      </c>
      <c r="L107" s="36">
        <f t="shared" si="16"/>
        <v>0</v>
      </c>
      <c r="M107" s="36">
        <f t="shared" si="16"/>
        <v>0</v>
      </c>
      <c r="N107" s="36">
        <f t="shared" si="16"/>
        <v>0</v>
      </c>
      <c r="O107" s="36">
        <f t="shared" si="16"/>
        <v>0</v>
      </c>
      <c r="P107" s="36">
        <f t="shared" si="16"/>
        <v>0</v>
      </c>
      <c r="Q107" s="36">
        <f t="shared" si="16"/>
        <v>0</v>
      </c>
      <c r="R107" s="36">
        <f t="shared" si="16"/>
        <v>0</v>
      </c>
      <c r="S107" s="36">
        <f t="shared" si="16"/>
        <v>0</v>
      </c>
      <c r="T107" s="36">
        <f t="shared" si="16"/>
        <v>0</v>
      </c>
      <c r="U107" s="36">
        <f t="shared" si="16"/>
        <v>0</v>
      </c>
      <c r="V107" s="36">
        <f t="shared" si="16"/>
        <v>0</v>
      </c>
      <c r="W107" s="36">
        <f t="shared" si="16"/>
        <v>0</v>
      </c>
      <c r="X107" s="36">
        <f t="shared" si="16"/>
        <v>0</v>
      </c>
      <c r="Y107" s="36">
        <f t="shared" si="16"/>
        <v>0</v>
      </c>
      <c r="Z107" s="36">
        <f t="shared" si="16"/>
        <v>0</v>
      </c>
      <c r="AA107" s="36">
        <f t="shared" si="16"/>
        <v>0</v>
      </c>
      <c r="AB107" s="36">
        <f t="shared" si="16"/>
        <v>0</v>
      </c>
      <c r="AC107" s="36">
        <f t="shared" si="16"/>
        <v>0</v>
      </c>
      <c r="AD107" s="36">
        <f t="shared" si="16"/>
        <v>0</v>
      </c>
      <c r="AE107" s="36">
        <f t="shared" si="16"/>
        <v>0</v>
      </c>
      <c r="AF107" s="36">
        <f t="shared" si="16"/>
        <v>0</v>
      </c>
      <c r="AG107" s="36">
        <f t="shared" si="16"/>
        <v>0</v>
      </c>
      <c r="AH107" s="36">
        <f t="shared" si="16"/>
        <v>0</v>
      </c>
      <c r="AI107" s="36">
        <f t="shared" si="16"/>
        <v>5</v>
      </c>
    </row>
    <row r="108" spans="2:35" ht="13.5" thickTop="1">
      <c r="B108" s="37" t="s">
        <v>36</v>
      </c>
      <c r="C108" s="48">
        <f>SUM(C97:C107)</f>
        <v>3981</v>
      </c>
      <c r="D108" s="48">
        <f aca="true" t="shared" si="17" ref="D108:AI108">SUM(D97:D107)</f>
        <v>4893</v>
      </c>
      <c r="E108" s="48">
        <f t="shared" si="17"/>
        <v>4526</v>
      </c>
      <c r="F108" s="48">
        <f t="shared" si="17"/>
        <v>4588</v>
      </c>
      <c r="G108" s="48">
        <f t="shared" si="17"/>
        <v>4497</v>
      </c>
      <c r="H108" s="48">
        <f t="shared" si="17"/>
        <v>4481</v>
      </c>
      <c r="I108" s="48">
        <f t="shared" si="17"/>
        <v>4807</v>
      </c>
      <c r="J108" s="48">
        <f t="shared" si="17"/>
        <v>4779</v>
      </c>
      <c r="K108" s="48">
        <f t="shared" si="17"/>
        <v>4649</v>
      </c>
      <c r="L108" s="48">
        <f t="shared" si="17"/>
        <v>4275</v>
      </c>
      <c r="M108" s="48">
        <f t="shared" si="17"/>
        <v>5099</v>
      </c>
      <c r="N108" s="48">
        <f t="shared" si="17"/>
        <v>4808</v>
      </c>
      <c r="O108" s="48">
        <f t="shared" si="17"/>
        <v>5019</v>
      </c>
      <c r="P108" s="48">
        <f t="shared" si="17"/>
        <v>4961</v>
      </c>
      <c r="Q108" s="48">
        <f t="shared" si="17"/>
        <v>4657</v>
      </c>
      <c r="R108" s="48">
        <f t="shared" si="17"/>
        <v>4996</v>
      </c>
      <c r="S108" s="48">
        <f t="shared" si="17"/>
        <v>4881</v>
      </c>
      <c r="T108" s="48">
        <f t="shared" si="17"/>
        <v>4717</v>
      </c>
      <c r="U108" s="48">
        <f t="shared" si="17"/>
        <v>4990</v>
      </c>
      <c r="V108" s="48">
        <f t="shared" si="17"/>
        <v>4985</v>
      </c>
      <c r="W108" s="48">
        <f t="shared" si="17"/>
        <v>4926</v>
      </c>
      <c r="X108" s="48">
        <f t="shared" si="17"/>
        <v>4655</v>
      </c>
      <c r="Y108" s="48">
        <f t="shared" si="17"/>
        <v>5232</v>
      </c>
      <c r="Z108" s="48">
        <f t="shared" si="17"/>
        <v>4521</v>
      </c>
      <c r="AA108" s="48">
        <f t="shared" si="17"/>
        <v>5340</v>
      </c>
      <c r="AB108" s="48">
        <f t="shared" si="17"/>
        <v>5135</v>
      </c>
      <c r="AC108" s="48">
        <f t="shared" si="17"/>
        <v>4831</v>
      </c>
      <c r="AD108" s="48">
        <f t="shared" si="17"/>
        <v>5194</v>
      </c>
      <c r="AE108" s="48">
        <f t="shared" si="17"/>
        <v>4923</v>
      </c>
      <c r="AF108" s="48">
        <f t="shared" si="17"/>
        <v>5457</v>
      </c>
      <c r="AG108" s="48">
        <f t="shared" si="17"/>
        <v>5056</v>
      </c>
      <c r="AH108" s="48">
        <f t="shared" si="17"/>
        <v>4862</v>
      </c>
      <c r="AI108" s="48">
        <f t="shared" si="17"/>
        <v>5676</v>
      </c>
    </row>
    <row r="109" spans="2:35" s="14" customFormat="1" ht="13.5" thickBot="1">
      <c r="B109" s="49" t="s">
        <v>37</v>
      </c>
      <c r="C109" s="50">
        <f>SUM(C97:C99)</f>
        <v>1876</v>
      </c>
      <c r="D109" s="50">
        <f aca="true" t="shared" si="18" ref="D109:AI109">SUM(D97:D99)</f>
        <v>2278</v>
      </c>
      <c r="E109" s="50">
        <f t="shared" si="18"/>
        <v>2143</v>
      </c>
      <c r="F109" s="50">
        <f t="shared" si="18"/>
        <v>2169</v>
      </c>
      <c r="G109" s="50">
        <f t="shared" si="18"/>
        <v>2090</v>
      </c>
      <c r="H109" s="50">
        <f t="shared" si="18"/>
        <v>2081</v>
      </c>
      <c r="I109" s="50">
        <f t="shared" si="18"/>
        <v>2206</v>
      </c>
      <c r="J109" s="50">
        <f t="shared" si="18"/>
        <v>2237</v>
      </c>
      <c r="K109" s="50">
        <f t="shared" si="18"/>
        <v>2139</v>
      </c>
      <c r="L109" s="50">
        <f t="shared" si="18"/>
        <v>1898</v>
      </c>
      <c r="M109" s="50">
        <f t="shared" si="18"/>
        <v>2324</v>
      </c>
      <c r="N109" s="50">
        <f t="shared" si="18"/>
        <v>2131</v>
      </c>
      <c r="O109" s="50">
        <f t="shared" si="18"/>
        <v>2228</v>
      </c>
      <c r="P109" s="50">
        <f t="shared" si="18"/>
        <v>2204</v>
      </c>
      <c r="Q109" s="50">
        <f t="shared" si="18"/>
        <v>2092</v>
      </c>
      <c r="R109" s="50">
        <f t="shared" si="18"/>
        <v>2232</v>
      </c>
      <c r="S109" s="50">
        <f t="shared" si="18"/>
        <v>2119</v>
      </c>
      <c r="T109" s="50">
        <f t="shared" si="18"/>
        <v>2038</v>
      </c>
      <c r="U109" s="50">
        <f t="shared" si="18"/>
        <v>2183</v>
      </c>
      <c r="V109" s="50">
        <f t="shared" si="18"/>
        <v>2236</v>
      </c>
      <c r="W109" s="50">
        <f t="shared" si="18"/>
        <v>2131</v>
      </c>
      <c r="X109" s="50">
        <f t="shared" si="18"/>
        <v>2020</v>
      </c>
      <c r="Y109" s="50">
        <f t="shared" si="18"/>
        <v>2213</v>
      </c>
      <c r="Z109" s="50">
        <f t="shared" si="18"/>
        <v>1921</v>
      </c>
      <c r="AA109" s="50">
        <f t="shared" si="18"/>
        <v>2242</v>
      </c>
      <c r="AB109" s="50">
        <f t="shared" si="18"/>
        <v>2097</v>
      </c>
      <c r="AC109" s="50">
        <f t="shared" si="18"/>
        <v>2010</v>
      </c>
      <c r="AD109" s="50">
        <f t="shared" si="18"/>
        <v>2114</v>
      </c>
      <c r="AE109" s="50">
        <f t="shared" si="18"/>
        <v>1991</v>
      </c>
      <c r="AF109" s="50">
        <f t="shared" si="18"/>
        <v>2177</v>
      </c>
      <c r="AG109" s="50">
        <f t="shared" si="18"/>
        <v>2039</v>
      </c>
      <c r="AH109" s="50">
        <f t="shared" si="18"/>
        <v>1980</v>
      </c>
      <c r="AI109" s="50">
        <f t="shared" si="18"/>
        <v>2323</v>
      </c>
    </row>
    <row r="110" spans="2:35" s="14" customFormat="1" ht="13.5" thickTop="1">
      <c r="B110" s="15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</row>
    <row r="111" spans="2:35" s="14" customFormat="1" ht="12.75">
      <c r="B111" s="1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</row>
    <row r="112" spans="2:35" s="14" customFormat="1" ht="12.75">
      <c r="B112" s="15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spans="2:35" ht="12.75"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</row>
    <row r="114" spans="2:35" ht="13.5" thickBot="1">
      <c r="B114" s="42" t="s">
        <v>0</v>
      </c>
      <c r="C114" s="47">
        <v>38108</v>
      </c>
      <c r="D114" s="47">
        <v>38139</v>
      </c>
      <c r="E114" s="47">
        <v>38169</v>
      </c>
      <c r="F114" s="47">
        <v>38200</v>
      </c>
      <c r="G114" s="47">
        <v>38231</v>
      </c>
      <c r="H114" s="47">
        <v>38261</v>
      </c>
      <c r="I114" s="47">
        <v>38292</v>
      </c>
      <c r="J114" s="47">
        <v>38322</v>
      </c>
      <c r="K114" s="47">
        <v>38353</v>
      </c>
      <c r="L114" s="47">
        <v>38384</v>
      </c>
      <c r="M114" s="47">
        <v>38412</v>
      </c>
      <c r="N114" s="47">
        <v>38443</v>
      </c>
      <c r="O114" s="47">
        <v>38473</v>
      </c>
      <c r="P114" s="47">
        <v>38504</v>
      </c>
      <c r="Q114" s="47">
        <v>38534</v>
      </c>
      <c r="R114" s="47">
        <v>38565</v>
      </c>
      <c r="S114" s="47">
        <v>38596</v>
      </c>
      <c r="T114" s="47">
        <v>38626</v>
      </c>
      <c r="U114" s="47">
        <v>38657</v>
      </c>
      <c r="V114" s="47">
        <v>38687</v>
      </c>
      <c r="W114" s="47">
        <v>38718</v>
      </c>
      <c r="X114" s="47">
        <v>38749</v>
      </c>
      <c r="Y114" s="47">
        <v>38777</v>
      </c>
      <c r="Z114" s="47">
        <v>38808</v>
      </c>
      <c r="AA114" s="47">
        <v>38838</v>
      </c>
      <c r="AB114" s="47">
        <v>38869</v>
      </c>
      <c r="AC114" s="47">
        <v>38899</v>
      </c>
      <c r="AD114" s="47">
        <v>38930</v>
      </c>
      <c r="AE114" s="47">
        <v>38961</v>
      </c>
      <c r="AF114" s="47">
        <v>38991</v>
      </c>
      <c r="AG114" s="47">
        <v>39022</v>
      </c>
      <c r="AH114" s="47">
        <v>39052</v>
      </c>
      <c r="AI114" s="47">
        <v>39083</v>
      </c>
    </row>
    <row r="115" spans="2:35" ht="13.5" thickTop="1">
      <c r="B115" s="40" t="s">
        <v>27</v>
      </c>
      <c r="C115" s="43">
        <f aca="true" t="shared" si="19" ref="C115:C127">C97/C$108</f>
        <v>0.15197186636523485</v>
      </c>
      <c r="D115" s="43">
        <f aca="true" t="shared" si="20" ref="D115:AB115">D97/D$108</f>
        <v>0.15532393214796647</v>
      </c>
      <c r="E115" s="43">
        <f t="shared" si="20"/>
        <v>0.15223155103844455</v>
      </c>
      <c r="F115" s="43">
        <f t="shared" si="20"/>
        <v>0.15518744551002617</v>
      </c>
      <c r="G115" s="43">
        <f t="shared" si="20"/>
        <v>0.15076717811874582</v>
      </c>
      <c r="H115" s="43">
        <f t="shared" si="20"/>
        <v>0.14773488060700737</v>
      </c>
      <c r="I115" s="43">
        <f t="shared" si="20"/>
        <v>0.1449968795506553</v>
      </c>
      <c r="J115" s="43">
        <f t="shared" si="20"/>
        <v>0.14793889935132873</v>
      </c>
      <c r="K115" s="43">
        <f t="shared" si="20"/>
        <v>0.14239621423962143</v>
      </c>
      <c r="L115" s="43">
        <f t="shared" si="20"/>
        <v>0.14526315789473684</v>
      </c>
      <c r="M115" s="43">
        <f t="shared" si="20"/>
        <v>0.14100804079231222</v>
      </c>
      <c r="N115" s="43">
        <f t="shared" si="20"/>
        <v>0.14371880199667222</v>
      </c>
      <c r="O115" s="43">
        <f t="shared" si="20"/>
        <v>0.14265789998007572</v>
      </c>
      <c r="P115" s="43">
        <f t="shared" si="20"/>
        <v>0.14231001814150374</v>
      </c>
      <c r="Q115" s="43">
        <f t="shared" si="20"/>
        <v>0.1528881254026197</v>
      </c>
      <c r="R115" s="43">
        <f t="shared" si="20"/>
        <v>0.1565252201761409</v>
      </c>
      <c r="S115" s="43">
        <f t="shared" si="20"/>
        <v>0.1524277811923786</v>
      </c>
      <c r="T115" s="43">
        <f t="shared" si="20"/>
        <v>0.15263938944244224</v>
      </c>
      <c r="U115" s="43">
        <f t="shared" si="20"/>
        <v>0.16072144288577153</v>
      </c>
      <c r="V115" s="43">
        <f t="shared" si="20"/>
        <v>0.16409227683049146</v>
      </c>
      <c r="W115" s="43">
        <f t="shared" si="20"/>
        <v>0.1603735282176208</v>
      </c>
      <c r="X115" s="43">
        <f t="shared" si="20"/>
        <v>0.1602577873254565</v>
      </c>
      <c r="Y115" s="43">
        <f t="shared" si="20"/>
        <v>0.15768348623853212</v>
      </c>
      <c r="Z115" s="43">
        <f t="shared" si="20"/>
        <v>0.1630170316301703</v>
      </c>
      <c r="AA115" s="43">
        <f t="shared" si="20"/>
        <v>0.15711610486891386</v>
      </c>
      <c r="AB115" s="43">
        <f t="shared" si="20"/>
        <v>0.15832521908471275</v>
      </c>
      <c r="AC115" s="43">
        <f aca="true" t="shared" si="21" ref="AC115:AI124">AC97/AC$108</f>
        <v>0.1655971848478576</v>
      </c>
      <c r="AD115" s="43">
        <f t="shared" si="21"/>
        <v>0.15575664227955333</v>
      </c>
      <c r="AE115" s="43">
        <f t="shared" si="21"/>
        <v>0.15742433475523054</v>
      </c>
      <c r="AF115" s="43">
        <f t="shared" si="21"/>
        <v>0.150448964632582</v>
      </c>
      <c r="AG115" s="43">
        <f t="shared" si="21"/>
        <v>0.153876582278481</v>
      </c>
      <c r="AH115" s="43">
        <f t="shared" si="21"/>
        <v>0.15898807075277663</v>
      </c>
      <c r="AI115" s="43">
        <f t="shared" si="21"/>
        <v>0.15327695560253699</v>
      </c>
    </row>
    <row r="116" spans="2:35" ht="12.75">
      <c r="B116" s="33" t="s">
        <v>28</v>
      </c>
      <c r="C116" s="38">
        <f t="shared" si="19"/>
        <v>0.31926651595076616</v>
      </c>
      <c r="D116" s="38">
        <f aca="true" t="shared" si="22" ref="D116:AB116">D98/D$108</f>
        <v>0.3102391171060699</v>
      </c>
      <c r="E116" s="38">
        <f t="shared" si="22"/>
        <v>0.3212549712770658</v>
      </c>
      <c r="F116" s="38">
        <f t="shared" si="22"/>
        <v>0.31756756756756754</v>
      </c>
      <c r="G116" s="38">
        <f t="shared" si="22"/>
        <v>0.3139871025127863</v>
      </c>
      <c r="H116" s="38">
        <f t="shared" si="22"/>
        <v>0.31667038607453696</v>
      </c>
      <c r="I116" s="38">
        <f t="shared" si="22"/>
        <v>0.31391720407738716</v>
      </c>
      <c r="J116" s="38">
        <f t="shared" si="22"/>
        <v>0.32015065913371</v>
      </c>
      <c r="K116" s="38">
        <f t="shared" si="22"/>
        <v>0.3177027317702732</v>
      </c>
      <c r="L116" s="38">
        <f t="shared" si="22"/>
        <v>0.29871345029239765</v>
      </c>
      <c r="M116" s="38">
        <f t="shared" si="22"/>
        <v>0.3147676014904883</v>
      </c>
      <c r="N116" s="38">
        <f t="shared" si="22"/>
        <v>0.2995008319467554</v>
      </c>
      <c r="O116" s="38">
        <f t="shared" si="22"/>
        <v>0.301255230125523</v>
      </c>
      <c r="P116" s="38">
        <f t="shared" si="22"/>
        <v>0.3019552509574683</v>
      </c>
      <c r="Q116" s="38">
        <f t="shared" si="22"/>
        <v>0.29632810822417865</v>
      </c>
      <c r="R116" s="38">
        <f t="shared" si="22"/>
        <v>0.2902321857485989</v>
      </c>
      <c r="S116" s="38">
        <f t="shared" si="22"/>
        <v>0.28170456873591476</v>
      </c>
      <c r="T116" s="38">
        <f t="shared" si="22"/>
        <v>0.2794148823404706</v>
      </c>
      <c r="U116" s="38">
        <f t="shared" si="22"/>
        <v>0.27675350701402807</v>
      </c>
      <c r="V116" s="38">
        <f t="shared" si="22"/>
        <v>0.28445336008024075</v>
      </c>
      <c r="W116" s="38">
        <f t="shared" si="22"/>
        <v>0.27222898903775883</v>
      </c>
      <c r="X116" s="38">
        <f t="shared" si="22"/>
        <v>0.2736842105263158</v>
      </c>
      <c r="Y116" s="38">
        <f t="shared" si="22"/>
        <v>0.2652905198776758</v>
      </c>
      <c r="Z116" s="38">
        <f t="shared" si="22"/>
        <v>0.2618889626188896</v>
      </c>
      <c r="AA116" s="38">
        <f t="shared" si="22"/>
        <v>0.26273408239700374</v>
      </c>
      <c r="AB116" s="38">
        <f t="shared" si="22"/>
        <v>0.24907497565725414</v>
      </c>
      <c r="AC116" s="38">
        <f t="shared" si="21"/>
        <v>0.24901676671496584</v>
      </c>
      <c r="AD116" s="38">
        <f t="shared" si="21"/>
        <v>0.24874855602618406</v>
      </c>
      <c r="AE116" s="38">
        <f t="shared" si="21"/>
        <v>0.24436319317489336</v>
      </c>
      <c r="AF116" s="38">
        <f t="shared" si="21"/>
        <v>0.2431739050760491</v>
      </c>
      <c r="AG116" s="38">
        <f t="shared" si="21"/>
        <v>0.2444620253164557</v>
      </c>
      <c r="AH116" s="38">
        <f t="shared" si="21"/>
        <v>0.24084738790621144</v>
      </c>
      <c r="AI116" s="38">
        <f t="shared" si="21"/>
        <v>0.24788583509513742</v>
      </c>
    </row>
    <row r="117" spans="2:35" ht="12.75">
      <c r="B117" s="33" t="s">
        <v>54</v>
      </c>
      <c r="C117" s="38">
        <f t="shared" si="19"/>
        <v>0</v>
      </c>
      <c r="D117" s="38">
        <f aca="true" t="shared" si="23" ref="D117:AB117">D99/D$108</f>
        <v>0</v>
      </c>
      <c r="E117" s="38">
        <f t="shared" si="23"/>
        <v>0</v>
      </c>
      <c r="F117" s="38">
        <f t="shared" si="23"/>
        <v>0</v>
      </c>
      <c r="G117" s="38">
        <f t="shared" si="23"/>
        <v>0</v>
      </c>
      <c r="H117" s="38">
        <f t="shared" si="23"/>
        <v>0</v>
      </c>
      <c r="I117" s="38">
        <f t="shared" si="23"/>
        <v>0</v>
      </c>
      <c r="J117" s="38">
        <f t="shared" si="23"/>
        <v>0</v>
      </c>
      <c r="K117" s="38">
        <f t="shared" si="23"/>
        <v>0</v>
      </c>
      <c r="L117" s="38">
        <f t="shared" si="23"/>
        <v>0</v>
      </c>
      <c r="M117" s="38">
        <f t="shared" si="23"/>
        <v>0</v>
      </c>
      <c r="N117" s="38">
        <f t="shared" si="23"/>
        <v>0</v>
      </c>
      <c r="O117" s="38">
        <f t="shared" si="23"/>
        <v>0</v>
      </c>
      <c r="P117" s="38">
        <f t="shared" si="23"/>
        <v>0</v>
      </c>
      <c r="Q117" s="38">
        <f t="shared" si="23"/>
        <v>0</v>
      </c>
      <c r="R117" s="38">
        <f t="shared" si="23"/>
        <v>0</v>
      </c>
      <c r="S117" s="38">
        <f t="shared" si="23"/>
        <v>0</v>
      </c>
      <c r="T117" s="38">
        <f t="shared" si="23"/>
        <v>0</v>
      </c>
      <c r="U117" s="38">
        <f t="shared" si="23"/>
        <v>0</v>
      </c>
      <c r="V117" s="38">
        <f t="shared" si="23"/>
        <v>0</v>
      </c>
      <c r="W117" s="38">
        <f t="shared" si="23"/>
        <v>0</v>
      </c>
      <c r="X117" s="38">
        <f t="shared" si="23"/>
        <v>0</v>
      </c>
      <c r="Y117" s="38">
        <f t="shared" si="23"/>
        <v>0</v>
      </c>
      <c r="Z117" s="38">
        <f t="shared" si="23"/>
        <v>0</v>
      </c>
      <c r="AA117" s="38">
        <f t="shared" si="23"/>
        <v>0</v>
      </c>
      <c r="AB117" s="38">
        <f t="shared" si="23"/>
        <v>0.0009737098344693282</v>
      </c>
      <c r="AC117" s="38">
        <f t="shared" si="21"/>
        <v>0.001448975367418754</v>
      </c>
      <c r="AD117" s="38">
        <f t="shared" si="21"/>
        <v>0.0025028879476318828</v>
      </c>
      <c r="AE117" s="38">
        <f t="shared" si="21"/>
        <v>0.002640666260410319</v>
      </c>
      <c r="AF117" s="38">
        <f t="shared" si="21"/>
        <v>0.005314275242807403</v>
      </c>
      <c r="AG117" s="38">
        <f t="shared" si="21"/>
        <v>0.004944620253164557</v>
      </c>
      <c r="AH117" s="38">
        <f t="shared" si="21"/>
        <v>0.007404360345536816</v>
      </c>
      <c r="AI117" s="38">
        <f t="shared" si="21"/>
        <v>0.00810429880197322</v>
      </c>
    </row>
    <row r="118" spans="2:35" ht="12.75">
      <c r="B118" s="33" t="s">
        <v>29</v>
      </c>
      <c r="C118" s="38">
        <f t="shared" si="19"/>
        <v>0.05752323536799799</v>
      </c>
      <c r="D118" s="38">
        <f aca="true" t="shared" si="24" ref="D118:AB118">D100/D$108</f>
        <v>0.054976497036582875</v>
      </c>
      <c r="E118" s="38">
        <f t="shared" si="24"/>
        <v>0.055457357490057445</v>
      </c>
      <c r="F118" s="38">
        <f t="shared" si="24"/>
        <v>0.054707933740191804</v>
      </c>
      <c r="G118" s="38">
        <f t="shared" si="24"/>
        <v>0.050922837447187015</v>
      </c>
      <c r="H118" s="38">
        <f t="shared" si="24"/>
        <v>0.05266681544298148</v>
      </c>
      <c r="I118" s="38">
        <f t="shared" si="24"/>
        <v>0.05055127938423133</v>
      </c>
      <c r="J118" s="38">
        <f t="shared" si="24"/>
        <v>0.05168445281439632</v>
      </c>
      <c r="K118" s="38">
        <f t="shared" si="24"/>
        <v>0.053559905355990534</v>
      </c>
      <c r="L118" s="38">
        <f t="shared" si="24"/>
        <v>0.05754385964912281</v>
      </c>
      <c r="M118" s="38">
        <f t="shared" si="24"/>
        <v>0.04961757207295548</v>
      </c>
      <c r="N118" s="38">
        <f t="shared" si="24"/>
        <v>0.05511647254575707</v>
      </c>
      <c r="O118" s="38">
        <f t="shared" si="24"/>
        <v>0.05220163379159195</v>
      </c>
      <c r="P118" s="38">
        <f t="shared" si="24"/>
        <v>0.0522072162870389</v>
      </c>
      <c r="Q118" s="38">
        <f t="shared" si="24"/>
        <v>0.05196478419583423</v>
      </c>
      <c r="R118" s="38">
        <f t="shared" si="24"/>
        <v>0.0544435548438751</v>
      </c>
      <c r="S118" s="38">
        <f t="shared" si="24"/>
        <v>0.049170251997541485</v>
      </c>
      <c r="T118" s="38">
        <f t="shared" si="24"/>
        <v>0.05236379054483782</v>
      </c>
      <c r="U118" s="38">
        <f t="shared" si="24"/>
        <v>0.050100200400801605</v>
      </c>
      <c r="V118" s="38">
        <f t="shared" si="24"/>
        <v>0.051755265797392175</v>
      </c>
      <c r="W118" s="38">
        <f t="shared" si="24"/>
        <v>0.053796183516037356</v>
      </c>
      <c r="X118" s="38">
        <f t="shared" si="24"/>
        <v>0.047475832438238455</v>
      </c>
      <c r="Y118" s="38">
        <f t="shared" si="24"/>
        <v>0.04988532110091743</v>
      </c>
      <c r="Z118" s="38">
        <f t="shared" si="24"/>
        <v>0.0455651404556514</v>
      </c>
      <c r="AA118" s="38">
        <f t="shared" si="24"/>
        <v>0.04925093632958801</v>
      </c>
      <c r="AB118" s="38">
        <f t="shared" si="24"/>
        <v>0.04829600778967868</v>
      </c>
      <c r="AC118" s="38">
        <f t="shared" si="21"/>
        <v>0.046574208238459945</v>
      </c>
      <c r="AD118" s="38">
        <f t="shared" si="21"/>
        <v>0.046399691952252596</v>
      </c>
      <c r="AE118" s="38">
        <f t="shared" si="21"/>
        <v>0.047735120861263455</v>
      </c>
      <c r="AF118" s="38">
        <f t="shared" si="21"/>
        <v>0.04416345977643394</v>
      </c>
      <c r="AG118" s="38">
        <f t="shared" si="21"/>
        <v>0.04667721518987342</v>
      </c>
      <c r="AH118" s="38">
        <f t="shared" si="21"/>
        <v>0.045454545454545456</v>
      </c>
      <c r="AI118" s="38">
        <f t="shared" si="21"/>
        <v>0.042283298097251586</v>
      </c>
    </row>
    <row r="119" spans="2:35" ht="12.75">
      <c r="B119" s="33" t="s">
        <v>30</v>
      </c>
      <c r="C119" s="38">
        <f t="shared" si="19"/>
        <v>0.20949510173323285</v>
      </c>
      <c r="D119" s="38">
        <f aca="true" t="shared" si="25" ref="D119:AB119">D101/D$108</f>
        <v>0.20314735336194564</v>
      </c>
      <c r="E119" s="38">
        <f t="shared" si="25"/>
        <v>0.19818824569155988</v>
      </c>
      <c r="F119" s="38">
        <f t="shared" si="25"/>
        <v>0.2088055797733217</v>
      </c>
      <c r="G119" s="38">
        <f t="shared" si="25"/>
        <v>0.20858350011118523</v>
      </c>
      <c r="H119" s="38">
        <f t="shared" si="25"/>
        <v>0.20464182102209327</v>
      </c>
      <c r="I119" s="38">
        <f t="shared" si="25"/>
        <v>0.20698980653214064</v>
      </c>
      <c r="J119" s="38">
        <f t="shared" si="25"/>
        <v>0.20966729441305712</v>
      </c>
      <c r="K119" s="38">
        <f t="shared" si="25"/>
        <v>0.21510002151000215</v>
      </c>
      <c r="L119" s="38">
        <f t="shared" si="25"/>
        <v>0.21707602339181287</v>
      </c>
      <c r="M119" s="38">
        <f t="shared" si="25"/>
        <v>0.2096489507746617</v>
      </c>
      <c r="N119" s="38">
        <f t="shared" si="25"/>
        <v>0.2175540765391015</v>
      </c>
      <c r="O119" s="38">
        <f t="shared" si="25"/>
        <v>0.21299063558477785</v>
      </c>
      <c r="P119" s="38">
        <f t="shared" si="25"/>
        <v>0.21306188268494256</v>
      </c>
      <c r="Q119" s="38">
        <f t="shared" si="25"/>
        <v>0.21043590294180803</v>
      </c>
      <c r="R119" s="38">
        <f t="shared" si="25"/>
        <v>0.20376301040832667</v>
      </c>
      <c r="S119" s="38">
        <f t="shared" si="25"/>
        <v>0.20856381888957182</v>
      </c>
      <c r="T119" s="38">
        <f t="shared" si="25"/>
        <v>0.20161119355522578</v>
      </c>
      <c r="U119" s="38">
        <f t="shared" si="25"/>
        <v>0.20841683366733466</v>
      </c>
      <c r="V119" s="38">
        <f t="shared" si="25"/>
        <v>0.19077231695085256</v>
      </c>
      <c r="W119" s="38">
        <f t="shared" si="25"/>
        <v>0.2050345107592367</v>
      </c>
      <c r="X119" s="38">
        <f t="shared" si="25"/>
        <v>0.19591836734693877</v>
      </c>
      <c r="Y119" s="38">
        <f t="shared" si="25"/>
        <v>0.19629204892966362</v>
      </c>
      <c r="Z119" s="38">
        <f t="shared" si="25"/>
        <v>0.19619553196195533</v>
      </c>
      <c r="AA119" s="38">
        <f t="shared" si="25"/>
        <v>0.1945692883895131</v>
      </c>
      <c r="AB119" s="38">
        <f t="shared" si="25"/>
        <v>0.19746835443037974</v>
      </c>
      <c r="AC119" s="38">
        <f t="shared" si="21"/>
        <v>0.19954460774166838</v>
      </c>
      <c r="AD119" s="38">
        <f t="shared" si="21"/>
        <v>0.19888332691567193</v>
      </c>
      <c r="AE119" s="38">
        <f t="shared" si="21"/>
        <v>0.19642494413975217</v>
      </c>
      <c r="AF119" s="38">
        <f t="shared" si="21"/>
        <v>0.1918636613523914</v>
      </c>
      <c r="AG119" s="38">
        <f t="shared" si="21"/>
        <v>0.18888449367088608</v>
      </c>
      <c r="AH119" s="38">
        <f t="shared" si="21"/>
        <v>0.19765528589058</v>
      </c>
      <c r="AI119" s="38">
        <f t="shared" si="21"/>
        <v>0.19467935165609584</v>
      </c>
    </row>
    <row r="120" spans="2:35" ht="12.75">
      <c r="B120" s="33" t="s">
        <v>31</v>
      </c>
      <c r="C120" s="38">
        <f t="shared" si="19"/>
        <v>0.016578749058025623</v>
      </c>
      <c r="D120" s="38">
        <f aca="true" t="shared" si="26" ref="D120:AB120">D102/D$108</f>
        <v>0.028203556100551808</v>
      </c>
      <c r="E120" s="38">
        <f t="shared" si="26"/>
        <v>0.03314184710561202</v>
      </c>
      <c r="F120" s="38">
        <f t="shared" si="26"/>
        <v>0.02855274629468178</v>
      </c>
      <c r="G120" s="38">
        <f t="shared" si="26"/>
        <v>0.03291082944185012</v>
      </c>
      <c r="H120" s="38">
        <f t="shared" si="26"/>
        <v>0.034367328721267576</v>
      </c>
      <c r="I120" s="38">
        <f t="shared" si="26"/>
        <v>0.03515706261701685</v>
      </c>
      <c r="J120" s="38">
        <f t="shared" si="26"/>
        <v>0.027830089976982633</v>
      </c>
      <c r="K120" s="38">
        <f t="shared" si="26"/>
        <v>0.032265003226500326</v>
      </c>
      <c r="L120" s="38">
        <f t="shared" si="26"/>
        <v>0.03415204678362573</v>
      </c>
      <c r="M120" s="38">
        <f t="shared" si="26"/>
        <v>0.03706609139046872</v>
      </c>
      <c r="N120" s="38">
        <f t="shared" si="26"/>
        <v>0.039725457570715474</v>
      </c>
      <c r="O120" s="38">
        <f t="shared" si="26"/>
        <v>0.043833432954771864</v>
      </c>
      <c r="P120" s="38">
        <f t="shared" si="26"/>
        <v>0.045353759322717194</v>
      </c>
      <c r="Q120" s="38">
        <f t="shared" si="26"/>
        <v>0.04230191110156753</v>
      </c>
      <c r="R120" s="38">
        <f t="shared" si="26"/>
        <v>0.04623698959167334</v>
      </c>
      <c r="S120" s="38">
        <f t="shared" si="26"/>
        <v>0.04527760704773612</v>
      </c>
      <c r="T120" s="38">
        <f t="shared" si="26"/>
        <v>0.05066779732881069</v>
      </c>
      <c r="U120" s="38">
        <f t="shared" si="26"/>
        <v>0.049298597194388775</v>
      </c>
      <c r="V120" s="38">
        <f t="shared" si="26"/>
        <v>0.04874623871614844</v>
      </c>
      <c r="W120" s="38">
        <f t="shared" si="26"/>
        <v>0.051969143321153065</v>
      </c>
      <c r="X120" s="38">
        <f t="shared" si="26"/>
        <v>0.06272824919441461</v>
      </c>
      <c r="Y120" s="38">
        <f t="shared" si="26"/>
        <v>0.0724388379204893</v>
      </c>
      <c r="Z120" s="38">
        <f t="shared" si="26"/>
        <v>0.07830126078301261</v>
      </c>
      <c r="AA120" s="38">
        <f t="shared" si="26"/>
        <v>0.08108614232209738</v>
      </c>
      <c r="AB120" s="38">
        <f t="shared" si="26"/>
        <v>0.08685491723466407</v>
      </c>
      <c r="AC120" s="38">
        <f t="shared" si="21"/>
        <v>0.08590353963982612</v>
      </c>
      <c r="AD120" s="38">
        <f t="shared" si="21"/>
        <v>0.08817866769349249</v>
      </c>
      <c r="AE120" s="38">
        <f t="shared" si="21"/>
        <v>0.09018890920170627</v>
      </c>
      <c r="AF120" s="38">
        <f t="shared" si="21"/>
        <v>0.09987172439069085</v>
      </c>
      <c r="AG120" s="38">
        <f t="shared" si="21"/>
        <v>0.10087025316455696</v>
      </c>
      <c r="AH120" s="38">
        <f t="shared" si="21"/>
        <v>0.09872480460715755</v>
      </c>
      <c r="AI120" s="38">
        <f t="shared" si="21"/>
        <v>0.10271317829457365</v>
      </c>
    </row>
    <row r="121" spans="2:35" ht="12.75">
      <c r="B121" s="33" t="s">
        <v>32</v>
      </c>
      <c r="C121" s="38">
        <f t="shared" si="19"/>
        <v>0</v>
      </c>
      <c r="D121" s="38">
        <f aca="true" t="shared" si="27" ref="D121:AB121">D103/D$108</f>
        <v>0</v>
      </c>
      <c r="E121" s="38">
        <f t="shared" si="27"/>
        <v>0</v>
      </c>
      <c r="F121" s="38">
        <f t="shared" si="27"/>
        <v>0</v>
      </c>
      <c r="G121" s="38">
        <f t="shared" si="27"/>
        <v>0</v>
      </c>
      <c r="H121" s="38">
        <f t="shared" si="27"/>
        <v>0</v>
      </c>
      <c r="I121" s="38">
        <f t="shared" si="27"/>
        <v>0</v>
      </c>
      <c r="J121" s="38">
        <f t="shared" si="27"/>
        <v>0</v>
      </c>
      <c r="K121" s="38">
        <f t="shared" si="27"/>
        <v>0.0010755001075500108</v>
      </c>
      <c r="L121" s="38">
        <f t="shared" si="27"/>
        <v>0.0030409356725146198</v>
      </c>
      <c r="M121" s="38">
        <f t="shared" si="27"/>
        <v>0.006079623455579526</v>
      </c>
      <c r="N121" s="38">
        <f t="shared" si="27"/>
        <v>0.00894342762063228</v>
      </c>
      <c r="O121" s="38">
        <f t="shared" si="27"/>
        <v>0.010161386730424387</v>
      </c>
      <c r="P121" s="38">
        <f t="shared" si="27"/>
        <v>0.01612578109252167</v>
      </c>
      <c r="Q121" s="38">
        <f t="shared" si="27"/>
        <v>0.015245866437620785</v>
      </c>
      <c r="R121" s="38">
        <f t="shared" si="27"/>
        <v>0.017413931144915934</v>
      </c>
      <c r="S121" s="38">
        <f t="shared" si="27"/>
        <v>0.022741241548862937</v>
      </c>
      <c r="T121" s="38">
        <f t="shared" si="27"/>
        <v>0.024379902480390077</v>
      </c>
      <c r="U121" s="38">
        <f t="shared" si="27"/>
        <v>0.022444889779559118</v>
      </c>
      <c r="V121" s="38">
        <f t="shared" si="27"/>
        <v>0.02708124373119358</v>
      </c>
      <c r="W121" s="38">
        <f t="shared" si="27"/>
        <v>0.028623629719853837</v>
      </c>
      <c r="X121" s="38">
        <f t="shared" si="27"/>
        <v>0.034156820622986035</v>
      </c>
      <c r="Y121" s="38">
        <f t="shared" si="27"/>
        <v>0.03211009174311927</v>
      </c>
      <c r="Z121" s="38">
        <f t="shared" si="27"/>
        <v>0.028312320283123204</v>
      </c>
      <c r="AA121" s="38">
        <f t="shared" si="27"/>
        <v>0.030337078651685393</v>
      </c>
      <c r="AB121" s="38">
        <f t="shared" si="27"/>
        <v>0.031742940603700094</v>
      </c>
      <c r="AC121" s="38">
        <f t="shared" si="21"/>
        <v>0.03229145104533223</v>
      </c>
      <c r="AD121" s="38">
        <f t="shared" si="21"/>
        <v>0.030612244897959183</v>
      </c>
      <c r="AE121" s="38">
        <f t="shared" si="21"/>
        <v>0.03148486695104611</v>
      </c>
      <c r="AF121" s="38">
        <f t="shared" si="21"/>
        <v>0.034634414513468936</v>
      </c>
      <c r="AG121" s="38">
        <f t="shared" si="21"/>
        <v>0.03540348101265823</v>
      </c>
      <c r="AH121" s="38">
        <f t="shared" si="21"/>
        <v>0.030234471410941998</v>
      </c>
      <c r="AI121" s="38">
        <f t="shared" si="21"/>
        <v>0.03312191684284708</v>
      </c>
    </row>
    <row r="122" spans="2:35" ht="12.75">
      <c r="B122" s="33" t="s">
        <v>33</v>
      </c>
      <c r="C122" s="38">
        <f t="shared" si="19"/>
        <v>0</v>
      </c>
      <c r="D122" s="38">
        <f aca="true" t="shared" si="28" ref="D122:AB122">D104/D$108</f>
        <v>0</v>
      </c>
      <c r="E122" s="38">
        <f t="shared" si="28"/>
        <v>0</v>
      </c>
      <c r="F122" s="38">
        <f t="shared" si="28"/>
        <v>0</v>
      </c>
      <c r="G122" s="38">
        <f t="shared" si="28"/>
        <v>0</v>
      </c>
      <c r="H122" s="38">
        <f t="shared" si="28"/>
        <v>0</v>
      </c>
      <c r="I122" s="38">
        <f t="shared" si="28"/>
        <v>0</v>
      </c>
      <c r="J122" s="38">
        <f t="shared" si="28"/>
        <v>0</v>
      </c>
      <c r="K122" s="38">
        <f t="shared" si="28"/>
        <v>0</v>
      </c>
      <c r="L122" s="38">
        <f t="shared" si="28"/>
        <v>0</v>
      </c>
      <c r="M122" s="38">
        <f t="shared" si="28"/>
        <v>0</v>
      </c>
      <c r="N122" s="38">
        <f t="shared" si="28"/>
        <v>0</v>
      </c>
      <c r="O122" s="38">
        <f t="shared" si="28"/>
        <v>0</v>
      </c>
      <c r="P122" s="38">
        <f t="shared" si="28"/>
        <v>0</v>
      </c>
      <c r="Q122" s="38">
        <f t="shared" si="28"/>
        <v>0</v>
      </c>
      <c r="R122" s="38">
        <f t="shared" si="28"/>
        <v>0</v>
      </c>
      <c r="S122" s="38">
        <f t="shared" si="28"/>
        <v>0</v>
      </c>
      <c r="T122" s="38">
        <f t="shared" si="28"/>
        <v>0</v>
      </c>
      <c r="U122" s="38">
        <f t="shared" si="28"/>
        <v>0</v>
      </c>
      <c r="V122" s="38">
        <f t="shared" si="28"/>
        <v>0</v>
      </c>
      <c r="W122" s="38">
        <f t="shared" si="28"/>
        <v>0.0004060089321965083</v>
      </c>
      <c r="X122" s="38">
        <f t="shared" si="28"/>
        <v>0.0034371643394199786</v>
      </c>
      <c r="Y122" s="38">
        <f t="shared" si="28"/>
        <v>0.0066896024464831805</v>
      </c>
      <c r="Z122" s="38">
        <f t="shared" si="28"/>
        <v>0.007520460075204601</v>
      </c>
      <c r="AA122" s="38">
        <f t="shared" si="28"/>
        <v>0.009737827715355805</v>
      </c>
      <c r="AB122" s="38">
        <f t="shared" si="28"/>
        <v>0.010710808179162609</v>
      </c>
      <c r="AC122" s="38">
        <f t="shared" si="21"/>
        <v>0.01345477126888843</v>
      </c>
      <c r="AD122" s="38">
        <f t="shared" si="21"/>
        <v>0.012514439738159414</v>
      </c>
      <c r="AE122" s="38">
        <f t="shared" si="21"/>
        <v>0.014218972171440178</v>
      </c>
      <c r="AF122" s="38">
        <f t="shared" si="21"/>
        <v>0.015759574857980574</v>
      </c>
      <c r="AG122" s="38">
        <f t="shared" si="21"/>
        <v>0.013844936708860759</v>
      </c>
      <c r="AH122" s="38">
        <f t="shared" si="21"/>
        <v>0.013574660633484163</v>
      </c>
      <c r="AI122" s="38">
        <f t="shared" si="21"/>
        <v>0.01603241719520789</v>
      </c>
    </row>
    <row r="123" spans="2:35" ht="12.75">
      <c r="B123" s="33" t="s">
        <v>34</v>
      </c>
      <c r="C123" s="38">
        <f t="shared" si="19"/>
        <v>0.0012559658377292139</v>
      </c>
      <c r="D123" s="38">
        <f aca="true" t="shared" si="29" ref="D123:AB123">D105/D$108</f>
        <v>0.002248109544246883</v>
      </c>
      <c r="E123" s="38">
        <f t="shared" si="29"/>
        <v>0.0017675651789659744</v>
      </c>
      <c r="F123" s="38">
        <f t="shared" si="29"/>
        <v>0.0015257192676547515</v>
      </c>
      <c r="G123" s="38">
        <f t="shared" si="29"/>
        <v>0.00155659328441183</v>
      </c>
      <c r="H123" s="38">
        <f t="shared" si="29"/>
        <v>0.002901138138808302</v>
      </c>
      <c r="I123" s="38">
        <f t="shared" si="29"/>
        <v>0.0027043894320782193</v>
      </c>
      <c r="J123" s="38">
        <f t="shared" si="29"/>
        <v>0.002092487968194183</v>
      </c>
      <c r="K123" s="38">
        <f t="shared" si="29"/>
        <v>0.00301140030114003</v>
      </c>
      <c r="L123" s="38">
        <f t="shared" si="29"/>
        <v>0.002105263157894737</v>
      </c>
      <c r="M123" s="38">
        <f t="shared" si="29"/>
        <v>0.002353402627966268</v>
      </c>
      <c r="N123" s="38">
        <f t="shared" si="29"/>
        <v>0.0022878535773710484</v>
      </c>
      <c r="O123" s="38">
        <f t="shared" si="29"/>
        <v>0.0033871289101414623</v>
      </c>
      <c r="P123" s="38">
        <f t="shared" si="29"/>
        <v>0.0022172949002217295</v>
      </c>
      <c r="Q123" s="38">
        <f t="shared" si="29"/>
        <v>0.002576766158471119</v>
      </c>
      <c r="R123" s="38">
        <f t="shared" si="29"/>
        <v>0.0028022417934347476</v>
      </c>
      <c r="S123" s="38">
        <f t="shared" si="29"/>
        <v>0.003278016799836099</v>
      </c>
      <c r="T123" s="38">
        <f t="shared" si="29"/>
        <v>0.002755988976044096</v>
      </c>
      <c r="U123" s="38">
        <f t="shared" si="29"/>
        <v>0.0022044088176352704</v>
      </c>
      <c r="V123" s="38">
        <f t="shared" si="29"/>
        <v>0.0028084252758274826</v>
      </c>
      <c r="W123" s="38">
        <f t="shared" si="29"/>
        <v>0.0036540803897685747</v>
      </c>
      <c r="X123" s="38">
        <f t="shared" si="29"/>
        <v>0.0030075187969924814</v>
      </c>
      <c r="Y123" s="38">
        <f t="shared" si="29"/>
        <v>0.00191131498470948</v>
      </c>
      <c r="Z123" s="38">
        <f t="shared" si="29"/>
        <v>0.0026542800265428003</v>
      </c>
      <c r="AA123" s="38">
        <f t="shared" si="29"/>
        <v>0.0026217228464419477</v>
      </c>
      <c r="AB123" s="38">
        <f t="shared" si="29"/>
        <v>0.0029211295034079843</v>
      </c>
      <c r="AC123" s="38">
        <f t="shared" si="21"/>
        <v>0.002483957772717864</v>
      </c>
      <c r="AD123" s="38">
        <f t="shared" si="21"/>
        <v>0.0034655371582595304</v>
      </c>
      <c r="AE123" s="38">
        <f t="shared" si="21"/>
        <v>0.0032500507820434695</v>
      </c>
      <c r="AF123" s="38">
        <f t="shared" si="21"/>
        <v>0.0038482682792743265</v>
      </c>
      <c r="AG123" s="38">
        <f t="shared" si="21"/>
        <v>0.003560126582278481</v>
      </c>
      <c r="AH123" s="38">
        <f t="shared" si="21"/>
        <v>0.0024681201151789387</v>
      </c>
      <c r="AI123" s="38">
        <f t="shared" si="21"/>
        <v>0.0029950669485553204</v>
      </c>
    </row>
    <row r="124" spans="2:35" ht="12.75">
      <c r="B124" s="33" t="s">
        <v>35</v>
      </c>
      <c r="C124" s="38">
        <f t="shared" si="19"/>
        <v>0.2439085656870133</v>
      </c>
      <c r="D124" s="38">
        <f aca="true" t="shared" si="30" ref="D124:AB124">D106/D$108</f>
        <v>0.2458614347026364</v>
      </c>
      <c r="E124" s="38">
        <f t="shared" si="30"/>
        <v>0.2379584622182943</v>
      </c>
      <c r="F124" s="38">
        <f t="shared" si="30"/>
        <v>0.23365300784655624</v>
      </c>
      <c r="G124" s="38">
        <f t="shared" si="30"/>
        <v>0.24127195908383367</v>
      </c>
      <c r="H124" s="38">
        <f t="shared" si="30"/>
        <v>0.24101762999330506</v>
      </c>
      <c r="I124" s="38">
        <f t="shared" si="30"/>
        <v>0.24568337840649054</v>
      </c>
      <c r="J124" s="38">
        <f t="shared" si="30"/>
        <v>0.24063611634233104</v>
      </c>
      <c r="K124" s="38">
        <f t="shared" si="30"/>
        <v>0.23488922348892236</v>
      </c>
      <c r="L124" s="38">
        <f t="shared" si="30"/>
        <v>0.24210526315789474</v>
      </c>
      <c r="M124" s="38">
        <f t="shared" si="30"/>
        <v>0.23945871739556776</v>
      </c>
      <c r="N124" s="38">
        <f t="shared" si="30"/>
        <v>0.233153078202995</v>
      </c>
      <c r="O124" s="38">
        <f t="shared" si="30"/>
        <v>0.23351265192269377</v>
      </c>
      <c r="P124" s="38">
        <f t="shared" si="30"/>
        <v>0.22676879661358598</v>
      </c>
      <c r="Q124" s="38">
        <f t="shared" si="30"/>
        <v>0.22825853553789993</v>
      </c>
      <c r="R124" s="38">
        <f t="shared" si="30"/>
        <v>0.22858286629303443</v>
      </c>
      <c r="S124" s="38">
        <f t="shared" si="30"/>
        <v>0.23683671378815815</v>
      </c>
      <c r="T124" s="38">
        <f t="shared" si="30"/>
        <v>0.23616705533177867</v>
      </c>
      <c r="U124" s="38">
        <f t="shared" si="30"/>
        <v>0.23006012024048098</v>
      </c>
      <c r="V124" s="38">
        <f t="shared" si="30"/>
        <v>0.23029087261785355</v>
      </c>
      <c r="W124" s="38">
        <f t="shared" si="30"/>
        <v>0.22391392610637434</v>
      </c>
      <c r="X124" s="38">
        <f t="shared" si="30"/>
        <v>0.21933404940923737</v>
      </c>
      <c r="Y124" s="38">
        <f t="shared" si="30"/>
        <v>0.2176987767584098</v>
      </c>
      <c r="Z124" s="38">
        <f t="shared" si="30"/>
        <v>0.21654501216545013</v>
      </c>
      <c r="AA124" s="38">
        <f t="shared" si="30"/>
        <v>0.21254681647940074</v>
      </c>
      <c r="AB124" s="38">
        <f t="shared" si="30"/>
        <v>0.2136319376825706</v>
      </c>
      <c r="AC124" s="38">
        <f t="shared" si="21"/>
        <v>0.20368453736286482</v>
      </c>
      <c r="AD124" s="38">
        <f t="shared" si="21"/>
        <v>0.21293800539083557</v>
      </c>
      <c r="AE124" s="38">
        <f t="shared" si="21"/>
        <v>0.2122689417022141</v>
      </c>
      <c r="AF124" s="38">
        <f t="shared" si="21"/>
        <v>0.21092175187832143</v>
      </c>
      <c r="AG124" s="38">
        <f t="shared" si="21"/>
        <v>0.2074762658227848</v>
      </c>
      <c r="AH124" s="38">
        <f t="shared" si="21"/>
        <v>0.204648292883587</v>
      </c>
      <c r="AI124" s="38">
        <f t="shared" si="21"/>
        <v>0.19802677942212826</v>
      </c>
    </row>
    <row r="125" spans="2:35" ht="13.5" thickBot="1">
      <c r="B125" s="35" t="s">
        <v>108</v>
      </c>
      <c r="C125" s="39">
        <f t="shared" si="19"/>
        <v>0</v>
      </c>
      <c r="D125" s="39">
        <f aca="true" t="shared" si="31" ref="D125:AH125">D107/D$108</f>
        <v>0</v>
      </c>
      <c r="E125" s="39">
        <f t="shared" si="31"/>
        <v>0</v>
      </c>
      <c r="F125" s="39">
        <f t="shared" si="31"/>
        <v>0</v>
      </c>
      <c r="G125" s="39">
        <f t="shared" si="31"/>
        <v>0</v>
      </c>
      <c r="H125" s="39">
        <f t="shared" si="31"/>
        <v>0</v>
      </c>
      <c r="I125" s="39">
        <f t="shared" si="31"/>
        <v>0</v>
      </c>
      <c r="J125" s="39">
        <f t="shared" si="31"/>
        <v>0</v>
      </c>
      <c r="K125" s="39">
        <f t="shared" si="31"/>
        <v>0</v>
      </c>
      <c r="L125" s="39">
        <f t="shared" si="31"/>
        <v>0</v>
      </c>
      <c r="M125" s="39">
        <f t="shared" si="31"/>
        <v>0</v>
      </c>
      <c r="N125" s="39">
        <f t="shared" si="31"/>
        <v>0</v>
      </c>
      <c r="O125" s="39">
        <f t="shared" si="31"/>
        <v>0</v>
      </c>
      <c r="P125" s="39">
        <f t="shared" si="31"/>
        <v>0</v>
      </c>
      <c r="Q125" s="39">
        <f t="shared" si="31"/>
        <v>0</v>
      </c>
      <c r="R125" s="39">
        <f t="shared" si="31"/>
        <v>0</v>
      </c>
      <c r="S125" s="39">
        <f t="shared" si="31"/>
        <v>0</v>
      </c>
      <c r="T125" s="39">
        <f t="shared" si="31"/>
        <v>0</v>
      </c>
      <c r="U125" s="39">
        <f t="shared" si="31"/>
        <v>0</v>
      </c>
      <c r="V125" s="39">
        <f t="shared" si="31"/>
        <v>0</v>
      </c>
      <c r="W125" s="39">
        <f t="shared" si="31"/>
        <v>0</v>
      </c>
      <c r="X125" s="39">
        <f t="shared" si="31"/>
        <v>0</v>
      </c>
      <c r="Y125" s="39">
        <f t="shared" si="31"/>
        <v>0</v>
      </c>
      <c r="Z125" s="39">
        <f t="shared" si="31"/>
        <v>0</v>
      </c>
      <c r="AA125" s="39">
        <f t="shared" si="31"/>
        <v>0</v>
      </c>
      <c r="AB125" s="39">
        <f t="shared" si="31"/>
        <v>0</v>
      </c>
      <c r="AC125" s="39">
        <f t="shared" si="31"/>
        <v>0</v>
      </c>
      <c r="AD125" s="39">
        <f t="shared" si="31"/>
        <v>0</v>
      </c>
      <c r="AE125" s="39">
        <f t="shared" si="31"/>
        <v>0</v>
      </c>
      <c r="AF125" s="39">
        <f t="shared" si="31"/>
        <v>0</v>
      </c>
      <c r="AG125" s="39">
        <f t="shared" si="31"/>
        <v>0</v>
      </c>
      <c r="AH125" s="39">
        <f t="shared" si="31"/>
        <v>0</v>
      </c>
      <c r="AI125" s="39">
        <f>AI107/AI$108</f>
        <v>0.0008809020436927414</v>
      </c>
    </row>
    <row r="126" spans="2:35" ht="13.5" thickTop="1">
      <c r="B126" s="37" t="s">
        <v>36</v>
      </c>
      <c r="C126" s="51">
        <f t="shared" si="19"/>
        <v>1</v>
      </c>
      <c r="D126" s="51">
        <f aca="true" t="shared" si="32" ref="D126:AB126">D108/D$108</f>
        <v>1</v>
      </c>
      <c r="E126" s="51">
        <f t="shared" si="32"/>
        <v>1</v>
      </c>
      <c r="F126" s="51">
        <f t="shared" si="32"/>
        <v>1</v>
      </c>
      <c r="G126" s="51">
        <f t="shared" si="32"/>
        <v>1</v>
      </c>
      <c r="H126" s="51">
        <f t="shared" si="32"/>
        <v>1</v>
      </c>
      <c r="I126" s="51">
        <f t="shared" si="32"/>
        <v>1</v>
      </c>
      <c r="J126" s="51">
        <f t="shared" si="32"/>
        <v>1</v>
      </c>
      <c r="K126" s="51">
        <f t="shared" si="32"/>
        <v>1</v>
      </c>
      <c r="L126" s="51">
        <f t="shared" si="32"/>
        <v>1</v>
      </c>
      <c r="M126" s="51">
        <f t="shared" si="32"/>
        <v>1</v>
      </c>
      <c r="N126" s="51">
        <f t="shared" si="32"/>
        <v>1</v>
      </c>
      <c r="O126" s="51">
        <f t="shared" si="32"/>
        <v>1</v>
      </c>
      <c r="P126" s="51">
        <f t="shared" si="32"/>
        <v>1</v>
      </c>
      <c r="Q126" s="51">
        <f t="shared" si="32"/>
        <v>1</v>
      </c>
      <c r="R126" s="51">
        <f t="shared" si="32"/>
        <v>1</v>
      </c>
      <c r="S126" s="51">
        <f t="shared" si="32"/>
        <v>1</v>
      </c>
      <c r="T126" s="51">
        <f t="shared" si="32"/>
        <v>1</v>
      </c>
      <c r="U126" s="51">
        <f t="shared" si="32"/>
        <v>1</v>
      </c>
      <c r="V126" s="51">
        <f t="shared" si="32"/>
        <v>1</v>
      </c>
      <c r="W126" s="51">
        <f t="shared" si="32"/>
        <v>1</v>
      </c>
      <c r="X126" s="51">
        <f t="shared" si="32"/>
        <v>1</v>
      </c>
      <c r="Y126" s="51">
        <f t="shared" si="32"/>
        <v>1</v>
      </c>
      <c r="Z126" s="51">
        <f t="shared" si="32"/>
        <v>1</v>
      </c>
      <c r="AA126" s="51">
        <f t="shared" si="32"/>
        <v>1</v>
      </c>
      <c r="AB126" s="51">
        <f t="shared" si="32"/>
        <v>1</v>
      </c>
      <c r="AC126" s="51">
        <f aca="true" t="shared" si="33" ref="AC126:AH127">AC108/AC$108</f>
        <v>1</v>
      </c>
      <c r="AD126" s="51">
        <f t="shared" si="33"/>
        <v>1</v>
      </c>
      <c r="AE126" s="51">
        <f t="shared" si="33"/>
        <v>1</v>
      </c>
      <c r="AF126" s="51">
        <f t="shared" si="33"/>
        <v>1</v>
      </c>
      <c r="AG126" s="51">
        <f t="shared" si="33"/>
        <v>1</v>
      </c>
      <c r="AH126" s="51">
        <f t="shared" si="33"/>
        <v>1</v>
      </c>
      <c r="AI126" s="51">
        <f>AI108/AI$108</f>
        <v>1</v>
      </c>
    </row>
    <row r="127" spans="2:35" ht="13.5" thickBot="1">
      <c r="B127" s="52" t="s">
        <v>37</v>
      </c>
      <c r="C127" s="53">
        <f t="shared" si="19"/>
        <v>0.471238382316001</v>
      </c>
      <c r="D127" s="53">
        <f aca="true" t="shared" si="34" ref="D127:AB127">D109/D$108</f>
        <v>0.46556304925403635</v>
      </c>
      <c r="E127" s="53">
        <f t="shared" si="34"/>
        <v>0.47348652231551036</v>
      </c>
      <c r="F127" s="53">
        <f t="shared" si="34"/>
        <v>0.4727550130775937</v>
      </c>
      <c r="G127" s="53">
        <f t="shared" si="34"/>
        <v>0.4647542806315321</v>
      </c>
      <c r="H127" s="53">
        <f t="shared" si="34"/>
        <v>0.4644052666815443</v>
      </c>
      <c r="I127" s="53">
        <f t="shared" si="34"/>
        <v>0.4589140836280424</v>
      </c>
      <c r="J127" s="53">
        <f t="shared" si="34"/>
        <v>0.4680895584850387</v>
      </c>
      <c r="K127" s="53">
        <f t="shared" si="34"/>
        <v>0.4600989460098946</v>
      </c>
      <c r="L127" s="53">
        <f t="shared" si="34"/>
        <v>0.4439766081871345</v>
      </c>
      <c r="M127" s="53">
        <f t="shared" si="34"/>
        <v>0.45577564228280054</v>
      </c>
      <c r="N127" s="53">
        <f t="shared" si="34"/>
        <v>0.4432196339434276</v>
      </c>
      <c r="O127" s="53">
        <f t="shared" si="34"/>
        <v>0.44391313010559874</v>
      </c>
      <c r="P127" s="53">
        <f t="shared" si="34"/>
        <v>0.44426526909897196</v>
      </c>
      <c r="Q127" s="53">
        <f t="shared" si="34"/>
        <v>0.44921623362679836</v>
      </c>
      <c r="R127" s="53">
        <f t="shared" si="34"/>
        <v>0.4467574059247398</v>
      </c>
      <c r="S127" s="53">
        <f t="shared" si="34"/>
        <v>0.43413234992829336</v>
      </c>
      <c r="T127" s="53">
        <f t="shared" si="34"/>
        <v>0.4320542717829129</v>
      </c>
      <c r="U127" s="53">
        <f t="shared" si="34"/>
        <v>0.4374749498997996</v>
      </c>
      <c r="V127" s="53">
        <f t="shared" si="34"/>
        <v>0.4485456369107322</v>
      </c>
      <c r="W127" s="53">
        <f t="shared" si="34"/>
        <v>0.4326025172553796</v>
      </c>
      <c r="X127" s="53">
        <f t="shared" si="34"/>
        <v>0.4339419978517723</v>
      </c>
      <c r="Y127" s="53">
        <f t="shared" si="34"/>
        <v>0.42297400611620795</v>
      </c>
      <c r="Z127" s="53">
        <f t="shared" si="34"/>
        <v>0.42490599424905995</v>
      </c>
      <c r="AA127" s="53">
        <f t="shared" si="34"/>
        <v>0.4198501872659176</v>
      </c>
      <c r="AB127" s="53">
        <f t="shared" si="34"/>
        <v>0.40837390457643624</v>
      </c>
      <c r="AC127" s="53">
        <f t="shared" si="33"/>
        <v>0.41606292693024216</v>
      </c>
      <c r="AD127" s="53">
        <f t="shared" si="33"/>
        <v>0.40700808625336926</v>
      </c>
      <c r="AE127" s="53">
        <f t="shared" si="33"/>
        <v>0.4044281941905342</v>
      </c>
      <c r="AF127" s="53">
        <f t="shared" si="33"/>
        <v>0.3989371449514385</v>
      </c>
      <c r="AG127" s="53">
        <f t="shared" si="33"/>
        <v>0.4032832278481013</v>
      </c>
      <c r="AH127" s="53">
        <f t="shared" si="33"/>
        <v>0.4072398190045249</v>
      </c>
      <c r="AI127" s="53">
        <f>AI109/AI$108</f>
        <v>0.40926708949964763</v>
      </c>
    </row>
    <row r="128" ht="13.5" thickTop="1"/>
    <row r="132" spans="2:35" ht="13.5" thickBot="1">
      <c r="B132" s="71" t="s">
        <v>73</v>
      </c>
      <c r="C132" s="75" t="s">
        <v>55</v>
      </c>
      <c r="D132" s="75" t="s">
        <v>56</v>
      </c>
      <c r="E132" s="75" t="s">
        <v>57</v>
      </c>
      <c r="F132" s="75" t="s">
        <v>58</v>
      </c>
      <c r="G132" s="75" t="s">
        <v>59</v>
      </c>
      <c r="H132" s="75" t="s">
        <v>60</v>
      </c>
      <c r="I132" s="75" t="s">
        <v>61</v>
      </c>
      <c r="J132" s="75" t="s">
        <v>67</v>
      </c>
      <c r="K132" s="75" t="s">
        <v>63</v>
      </c>
      <c r="L132" s="75" t="s">
        <v>64</v>
      </c>
      <c r="M132" s="75" t="s">
        <v>65</v>
      </c>
      <c r="N132" s="75" t="s">
        <v>38</v>
      </c>
      <c r="O132" s="75" t="s">
        <v>39</v>
      </c>
      <c r="P132" s="75" t="s">
        <v>40</v>
      </c>
      <c r="Q132" s="75" t="s">
        <v>41</v>
      </c>
      <c r="R132" s="75" t="s">
        <v>42</v>
      </c>
      <c r="S132" s="75" t="s">
        <v>43</v>
      </c>
      <c r="T132" s="75" t="s">
        <v>44</v>
      </c>
      <c r="U132" s="75" t="s">
        <v>45</v>
      </c>
      <c r="V132" s="75" t="s">
        <v>46</v>
      </c>
      <c r="W132" s="75" t="s">
        <v>47</v>
      </c>
      <c r="X132" s="75" t="s">
        <v>66</v>
      </c>
      <c r="Y132" s="75" t="s">
        <v>49</v>
      </c>
      <c r="Z132" s="75" t="s">
        <v>50</v>
      </c>
      <c r="AA132" s="75" t="s">
        <v>51</v>
      </c>
      <c r="AB132" s="75" t="s">
        <v>52</v>
      </c>
      <c r="AC132" s="75" t="s">
        <v>69</v>
      </c>
      <c r="AD132" s="75" t="s">
        <v>70</v>
      </c>
      <c r="AE132" s="85">
        <v>38961</v>
      </c>
      <c r="AF132" s="85">
        <v>38991</v>
      </c>
      <c r="AG132" s="85">
        <v>39022</v>
      </c>
      <c r="AH132" s="85">
        <v>39052</v>
      </c>
      <c r="AI132" s="85">
        <v>39083</v>
      </c>
    </row>
    <row r="133" spans="2:35" ht="13.5" thickTop="1">
      <c r="B133" s="74" t="s">
        <v>1</v>
      </c>
      <c r="C133" s="76">
        <f aca="true" t="shared" si="35" ref="C133:C161">C66/C$108</f>
        <v>0</v>
      </c>
      <c r="D133" s="76">
        <f aca="true" t="shared" si="36" ref="D133:AI133">D66/D$108</f>
        <v>0</v>
      </c>
      <c r="E133" s="76">
        <f t="shared" si="36"/>
        <v>0</v>
      </c>
      <c r="F133" s="76">
        <f t="shared" si="36"/>
        <v>0</v>
      </c>
      <c r="G133" s="76">
        <f t="shared" si="36"/>
        <v>0</v>
      </c>
      <c r="H133" s="76">
        <f t="shared" si="36"/>
        <v>0</v>
      </c>
      <c r="I133" s="76">
        <f t="shared" si="36"/>
        <v>0</v>
      </c>
      <c r="J133" s="76">
        <f t="shared" si="36"/>
        <v>0</v>
      </c>
      <c r="K133" s="76">
        <f t="shared" si="36"/>
        <v>0</v>
      </c>
      <c r="L133" s="76">
        <f t="shared" si="36"/>
        <v>0</v>
      </c>
      <c r="M133" s="76">
        <f t="shared" si="36"/>
        <v>0</v>
      </c>
      <c r="N133" s="76">
        <f t="shared" si="36"/>
        <v>0</v>
      </c>
      <c r="O133" s="76">
        <f t="shared" si="36"/>
        <v>0</v>
      </c>
      <c r="P133" s="76">
        <f t="shared" si="36"/>
        <v>0</v>
      </c>
      <c r="Q133" s="76">
        <f t="shared" si="36"/>
        <v>0</v>
      </c>
      <c r="R133" s="76">
        <f t="shared" si="36"/>
        <v>0</v>
      </c>
      <c r="S133" s="76">
        <f t="shared" si="36"/>
        <v>0</v>
      </c>
      <c r="T133" s="76">
        <f t="shared" si="36"/>
        <v>0</v>
      </c>
      <c r="U133" s="76">
        <f t="shared" si="36"/>
        <v>0</v>
      </c>
      <c r="V133" s="76">
        <f t="shared" si="36"/>
        <v>0.00040120361083249747</v>
      </c>
      <c r="W133" s="76">
        <f t="shared" si="36"/>
        <v>0.0008120178643930166</v>
      </c>
      <c r="X133" s="76">
        <f t="shared" si="36"/>
        <v>0.00021482277121374866</v>
      </c>
      <c r="Y133" s="76">
        <f t="shared" si="36"/>
        <v>0.0011467889908256881</v>
      </c>
      <c r="Z133" s="76">
        <f t="shared" si="36"/>
        <v>0.0013271400132714001</v>
      </c>
      <c r="AA133" s="76">
        <f t="shared" si="36"/>
        <v>0.0011235955056179776</v>
      </c>
      <c r="AB133" s="76">
        <f t="shared" si="36"/>
        <v>0.0013631937682570595</v>
      </c>
      <c r="AC133" s="76">
        <f t="shared" si="36"/>
        <v>0.001448975367418754</v>
      </c>
      <c r="AD133" s="76">
        <f t="shared" si="36"/>
        <v>0.0017327685791297652</v>
      </c>
      <c r="AE133" s="76">
        <f t="shared" si="36"/>
        <v>0.0018281535648994515</v>
      </c>
      <c r="AF133" s="76">
        <f t="shared" si="36"/>
        <v>0.0016492578339747114</v>
      </c>
      <c r="AG133" s="76">
        <f t="shared" si="36"/>
        <v>0.001977848101265823</v>
      </c>
      <c r="AH133" s="76">
        <f t="shared" si="36"/>
        <v>0.0012340600575894694</v>
      </c>
      <c r="AI133" s="76">
        <f t="shared" si="36"/>
        <v>0.002642706131078224</v>
      </c>
    </row>
    <row r="134" spans="2:35" ht="12.75">
      <c r="B134" s="73" t="s">
        <v>2</v>
      </c>
      <c r="C134" s="76">
        <f t="shared" si="35"/>
        <v>0.1391610148203969</v>
      </c>
      <c r="D134" s="76">
        <f aca="true" t="shared" si="37" ref="D134:AI134">D67/D$108</f>
        <v>0.14060903331289598</v>
      </c>
      <c r="E134" s="76">
        <f t="shared" si="37"/>
        <v>0.13499779054352629</v>
      </c>
      <c r="F134" s="76">
        <f t="shared" si="37"/>
        <v>0.1397122929380994</v>
      </c>
      <c r="G134" s="76">
        <f t="shared" si="37"/>
        <v>0.1318656882366022</v>
      </c>
      <c r="H134" s="76">
        <f t="shared" si="37"/>
        <v>0.13099754519080561</v>
      </c>
      <c r="I134" s="76">
        <f t="shared" si="37"/>
        <v>0.12731433326399003</v>
      </c>
      <c r="J134" s="76">
        <f t="shared" si="37"/>
        <v>0.12952500523121993</v>
      </c>
      <c r="K134" s="76">
        <f t="shared" si="37"/>
        <v>0.12389761238976124</v>
      </c>
      <c r="L134" s="76">
        <f t="shared" si="37"/>
        <v>0.12631578947368421</v>
      </c>
      <c r="M134" s="76">
        <f t="shared" si="37"/>
        <v>0.1212002353402628</v>
      </c>
      <c r="N134" s="76">
        <f t="shared" si="37"/>
        <v>0.12479201331114809</v>
      </c>
      <c r="O134" s="76">
        <f t="shared" si="37"/>
        <v>0.12273361227336123</v>
      </c>
      <c r="P134" s="76">
        <f t="shared" si="37"/>
        <v>0.12316065309413425</v>
      </c>
      <c r="Q134" s="76">
        <f t="shared" si="37"/>
        <v>0.13227399613485077</v>
      </c>
      <c r="R134" s="76">
        <f t="shared" si="37"/>
        <v>0.13751000800640512</v>
      </c>
      <c r="S134" s="76">
        <f t="shared" si="37"/>
        <v>0.13214505224339274</v>
      </c>
      <c r="T134" s="76">
        <f t="shared" si="37"/>
        <v>0.13016747933008269</v>
      </c>
      <c r="U134" s="76">
        <f t="shared" si="37"/>
        <v>0.13867735470941883</v>
      </c>
      <c r="V134" s="76">
        <f t="shared" si="37"/>
        <v>0.14122367101303912</v>
      </c>
      <c r="W134" s="76">
        <f t="shared" si="37"/>
        <v>0.13784003248071458</v>
      </c>
      <c r="X134" s="76">
        <f t="shared" si="37"/>
        <v>0.1394199785177229</v>
      </c>
      <c r="Y134" s="76">
        <f t="shared" si="37"/>
        <v>0.13742354740061163</v>
      </c>
      <c r="Z134" s="76">
        <f t="shared" si="37"/>
        <v>0.13912851139128513</v>
      </c>
      <c r="AA134" s="76">
        <f t="shared" si="37"/>
        <v>0.13539325842696628</v>
      </c>
      <c r="AB134" s="76">
        <f t="shared" si="37"/>
        <v>0.13729308666017526</v>
      </c>
      <c r="AC134" s="76">
        <f t="shared" si="37"/>
        <v>0.143034568412337</v>
      </c>
      <c r="AD134" s="76">
        <f t="shared" si="37"/>
        <v>0.1340007701193685</v>
      </c>
      <c r="AE134" s="76">
        <f t="shared" si="37"/>
        <v>0.13304895388990454</v>
      </c>
      <c r="AF134" s="76">
        <f t="shared" si="37"/>
        <v>0.1271761040864944</v>
      </c>
      <c r="AG134" s="76">
        <f t="shared" si="37"/>
        <v>0.1307357594936709</v>
      </c>
      <c r="AH134" s="76">
        <f t="shared" si="37"/>
        <v>0.13554092965857673</v>
      </c>
      <c r="AI134" s="76">
        <f t="shared" si="37"/>
        <v>0.12931642001409444</v>
      </c>
    </row>
    <row r="135" spans="2:35" ht="12.75">
      <c r="B135" s="73" t="s">
        <v>3</v>
      </c>
      <c r="C135" s="76">
        <f t="shared" si="35"/>
        <v>0.01281085154483798</v>
      </c>
      <c r="D135" s="76">
        <f aca="true" t="shared" si="38" ref="D135:AI135">D68/D$108</f>
        <v>0.014714898835070508</v>
      </c>
      <c r="E135" s="76">
        <f t="shared" si="38"/>
        <v>0.01723376049491825</v>
      </c>
      <c r="F135" s="76">
        <f t="shared" si="38"/>
        <v>0.015475152571926765</v>
      </c>
      <c r="G135" s="76">
        <f t="shared" si="38"/>
        <v>0.01890148988214365</v>
      </c>
      <c r="H135" s="76">
        <f t="shared" si="38"/>
        <v>0.016737335416201742</v>
      </c>
      <c r="I135" s="76">
        <f t="shared" si="38"/>
        <v>0.01768254628666528</v>
      </c>
      <c r="J135" s="76">
        <f t="shared" si="38"/>
        <v>0.01841389412010881</v>
      </c>
      <c r="K135" s="76">
        <f t="shared" si="38"/>
        <v>0.018498601849860186</v>
      </c>
      <c r="L135" s="76">
        <f t="shared" si="38"/>
        <v>0.018947368421052633</v>
      </c>
      <c r="M135" s="76">
        <f t="shared" si="38"/>
        <v>0.01980780545204942</v>
      </c>
      <c r="N135" s="76">
        <f t="shared" si="38"/>
        <v>0.018926788685524127</v>
      </c>
      <c r="O135" s="76">
        <f t="shared" si="38"/>
        <v>0.019924287706714484</v>
      </c>
      <c r="P135" s="76">
        <f t="shared" si="38"/>
        <v>0.01914936504736948</v>
      </c>
      <c r="Q135" s="76">
        <f t="shared" si="38"/>
        <v>0.02061412926776895</v>
      </c>
      <c r="R135" s="76">
        <f t="shared" si="38"/>
        <v>0.019015212169735788</v>
      </c>
      <c r="S135" s="76">
        <f t="shared" si="38"/>
        <v>0.020282728948985862</v>
      </c>
      <c r="T135" s="76">
        <f t="shared" si="38"/>
        <v>0.02247191011235955</v>
      </c>
      <c r="U135" s="76">
        <f t="shared" si="38"/>
        <v>0.022044088176352707</v>
      </c>
      <c r="V135" s="76">
        <f t="shared" si="38"/>
        <v>0.02246740220661986</v>
      </c>
      <c r="W135" s="76">
        <f t="shared" si="38"/>
        <v>0.021721477872513197</v>
      </c>
      <c r="X135" s="76">
        <f t="shared" si="38"/>
        <v>0.02062298603651987</v>
      </c>
      <c r="Y135" s="76">
        <f t="shared" si="38"/>
        <v>0.0191131498470948</v>
      </c>
      <c r="Z135" s="76">
        <f t="shared" si="38"/>
        <v>0.0225613802256138</v>
      </c>
      <c r="AA135" s="76">
        <f t="shared" si="38"/>
        <v>0.020599250936329586</v>
      </c>
      <c r="AB135" s="76">
        <f t="shared" si="38"/>
        <v>0.01966893865628043</v>
      </c>
      <c r="AC135" s="76">
        <f t="shared" si="38"/>
        <v>0.021113641068101843</v>
      </c>
      <c r="AD135" s="76">
        <f t="shared" si="38"/>
        <v>0.020023103581055062</v>
      </c>
      <c r="AE135" s="76">
        <f t="shared" si="38"/>
        <v>0.02254722730042657</v>
      </c>
      <c r="AF135" s="76">
        <f t="shared" si="38"/>
        <v>0.02162360271211288</v>
      </c>
      <c r="AG135" s="76">
        <f t="shared" si="38"/>
        <v>0.021162974683544302</v>
      </c>
      <c r="AH135" s="76">
        <f t="shared" si="38"/>
        <v>0.02221308103661045</v>
      </c>
      <c r="AI135" s="76">
        <f t="shared" si="38"/>
        <v>0.02131782945736434</v>
      </c>
    </row>
    <row r="136" spans="2:35" ht="12.75">
      <c r="B136" s="73" t="s">
        <v>74</v>
      </c>
      <c r="C136" s="76">
        <f t="shared" si="35"/>
        <v>0</v>
      </c>
      <c r="D136" s="76">
        <f aca="true" t="shared" si="39" ref="D136:AI136">D69/D$108</f>
        <v>0</v>
      </c>
      <c r="E136" s="76">
        <f t="shared" si="39"/>
        <v>0</v>
      </c>
      <c r="F136" s="76">
        <f t="shared" si="39"/>
        <v>0</v>
      </c>
      <c r="G136" s="76">
        <f t="shared" si="39"/>
        <v>0</v>
      </c>
      <c r="H136" s="76">
        <f t="shared" si="39"/>
        <v>0</v>
      </c>
      <c r="I136" s="76">
        <f t="shared" si="39"/>
        <v>0</v>
      </c>
      <c r="J136" s="76">
        <f t="shared" si="39"/>
        <v>0</v>
      </c>
      <c r="K136" s="76">
        <f t="shared" si="39"/>
        <v>0</v>
      </c>
      <c r="L136" s="76">
        <f t="shared" si="39"/>
        <v>0</v>
      </c>
      <c r="M136" s="76">
        <f t="shared" si="39"/>
        <v>0</v>
      </c>
      <c r="N136" s="76">
        <f t="shared" si="39"/>
        <v>0</v>
      </c>
      <c r="O136" s="76">
        <f t="shared" si="39"/>
        <v>0</v>
      </c>
      <c r="P136" s="76">
        <f t="shared" si="39"/>
        <v>0</v>
      </c>
      <c r="Q136" s="76">
        <f t="shared" si="39"/>
        <v>0</v>
      </c>
      <c r="R136" s="76">
        <f t="shared" si="39"/>
        <v>0</v>
      </c>
      <c r="S136" s="76">
        <f t="shared" si="39"/>
        <v>0</v>
      </c>
      <c r="T136" s="76">
        <f t="shared" si="39"/>
        <v>0</v>
      </c>
      <c r="U136" s="76">
        <f t="shared" si="39"/>
        <v>0</v>
      </c>
      <c r="V136" s="76">
        <f t="shared" si="39"/>
        <v>0</v>
      </c>
      <c r="W136" s="76">
        <f t="shared" si="39"/>
        <v>0</v>
      </c>
      <c r="X136" s="76">
        <f t="shared" si="39"/>
        <v>0</v>
      </c>
      <c r="Y136" s="76">
        <f t="shared" si="39"/>
        <v>0</v>
      </c>
      <c r="Z136" s="76">
        <f t="shared" si="39"/>
        <v>0</v>
      </c>
      <c r="AA136" s="76">
        <f t="shared" si="39"/>
        <v>0</v>
      </c>
      <c r="AB136" s="76">
        <f t="shared" si="39"/>
        <v>0</v>
      </c>
      <c r="AC136" s="76">
        <f t="shared" si="39"/>
        <v>0</v>
      </c>
      <c r="AD136" s="76">
        <f t="shared" si="39"/>
        <v>0</v>
      </c>
      <c r="AE136" s="76">
        <f t="shared" si="39"/>
        <v>0</v>
      </c>
      <c r="AF136" s="76">
        <f t="shared" si="39"/>
        <v>0.0001832508704416346</v>
      </c>
      <c r="AG136" s="76">
        <f t="shared" si="39"/>
        <v>0</v>
      </c>
      <c r="AH136" s="76">
        <f t="shared" si="39"/>
        <v>0</v>
      </c>
      <c r="AI136" s="76">
        <f t="shared" si="39"/>
        <v>0.00017618040873854828</v>
      </c>
    </row>
    <row r="137" spans="2:35" ht="12.75">
      <c r="B137" s="73" t="s">
        <v>4</v>
      </c>
      <c r="C137" s="76">
        <f t="shared" si="35"/>
        <v>0.24064305450891735</v>
      </c>
      <c r="D137" s="76">
        <f aca="true" t="shared" si="40" ref="D137:AI137">D70/D$108</f>
        <v>0.23073778867770284</v>
      </c>
      <c r="E137" s="76">
        <f t="shared" si="40"/>
        <v>0.2322138753866549</v>
      </c>
      <c r="F137" s="76">
        <f t="shared" si="40"/>
        <v>0.23801220575414123</v>
      </c>
      <c r="G137" s="76">
        <f t="shared" si="40"/>
        <v>0.23193239937736268</v>
      </c>
      <c r="H137" s="76">
        <f t="shared" si="40"/>
        <v>0.23142155768801606</v>
      </c>
      <c r="I137" s="76">
        <f t="shared" si="40"/>
        <v>0.2242562929061785</v>
      </c>
      <c r="J137" s="76">
        <f t="shared" si="40"/>
        <v>0.23247541326637372</v>
      </c>
      <c r="K137" s="76">
        <f t="shared" si="40"/>
        <v>0.23553452355345236</v>
      </c>
      <c r="L137" s="76">
        <f t="shared" si="40"/>
        <v>0.21964912280701754</v>
      </c>
      <c r="M137" s="76">
        <f t="shared" si="40"/>
        <v>0.2300451068837027</v>
      </c>
      <c r="N137" s="76">
        <f t="shared" si="40"/>
        <v>0.21526622296173045</v>
      </c>
      <c r="O137" s="76">
        <f t="shared" si="40"/>
        <v>0.2163777644949193</v>
      </c>
      <c r="P137" s="76">
        <f t="shared" si="40"/>
        <v>0.21467446079419472</v>
      </c>
      <c r="Q137" s="76">
        <f t="shared" si="40"/>
        <v>0.21129482499463173</v>
      </c>
      <c r="R137" s="76">
        <f t="shared" si="40"/>
        <v>0.2021617293835068</v>
      </c>
      <c r="S137" s="76">
        <f t="shared" si="40"/>
        <v>0.20221266133988935</v>
      </c>
      <c r="T137" s="76">
        <f t="shared" si="40"/>
        <v>0.19970320118719526</v>
      </c>
      <c r="U137" s="76">
        <f t="shared" si="40"/>
        <v>0.19579158316633266</v>
      </c>
      <c r="V137" s="76">
        <f t="shared" si="40"/>
        <v>0.20220661985957875</v>
      </c>
      <c r="W137" s="76">
        <f t="shared" si="40"/>
        <v>0.19386926512383273</v>
      </c>
      <c r="X137" s="76">
        <f t="shared" si="40"/>
        <v>0.19570354457572503</v>
      </c>
      <c r="Y137" s="76">
        <f t="shared" si="40"/>
        <v>0.1890290519877676</v>
      </c>
      <c r="Z137" s="76">
        <f t="shared" si="40"/>
        <v>0.19000221190002212</v>
      </c>
      <c r="AA137" s="76">
        <f t="shared" si="40"/>
        <v>0.1842696629213483</v>
      </c>
      <c r="AB137" s="76">
        <f t="shared" si="40"/>
        <v>0.17585199610516067</v>
      </c>
      <c r="AC137" s="76">
        <f t="shared" si="40"/>
        <v>0.17077209687435313</v>
      </c>
      <c r="AD137" s="76">
        <f t="shared" si="40"/>
        <v>0.17616480554485944</v>
      </c>
      <c r="AE137" s="76">
        <f t="shared" si="40"/>
        <v>0.17062766605728213</v>
      </c>
      <c r="AF137" s="76">
        <f t="shared" si="40"/>
        <v>0.17298882169690305</v>
      </c>
      <c r="AG137" s="76">
        <f t="shared" si="40"/>
        <v>0.17325949367088608</v>
      </c>
      <c r="AH137" s="76">
        <f t="shared" si="40"/>
        <v>0.16968325791855204</v>
      </c>
      <c r="AI137" s="76">
        <f t="shared" si="40"/>
        <v>0.1744186046511628</v>
      </c>
    </row>
    <row r="138" spans="2:35" ht="12.75">
      <c r="B138" s="73" t="s">
        <v>5</v>
      </c>
      <c r="C138" s="76">
        <f t="shared" si="35"/>
        <v>0.07862346144184879</v>
      </c>
      <c r="D138" s="76">
        <f aca="true" t="shared" si="41" ref="D138:AI138">D71/D$108</f>
        <v>0.07950132842836706</v>
      </c>
      <c r="E138" s="76">
        <f t="shared" si="41"/>
        <v>0.08904109589041095</v>
      </c>
      <c r="F138" s="76">
        <f t="shared" si="41"/>
        <v>0.07955536181342633</v>
      </c>
      <c r="G138" s="76">
        <f t="shared" si="41"/>
        <v>0.08205470313542361</v>
      </c>
      <c r="H138" s="76">
        <f t="shared" si="41"/>
        <v>0.08524882838652087</v>
      </c>
      <c r="I138" s="76">
        <f t="shared" si="41"/>
        <v>0.08966091117120865</v>
      </c>
      <c r="J138" s="76">
        <f t="shared" si="41"/>
        <v>0.08767524586733626</v>
      </c>
      <c r="K138" s="76">
        <f t="shared" si="41"/>
        <v>0.08216820821682082</v>
      </c>
      <c r="L138" s="76">
        <f t="shared" si="41"/>
        <v>0.07906432748538011</v>
      </c>
      <c r="M138" s="76">
        <f t="shared" si="41"/>
        <v>0.08472249460678564</v>
      </c>
      <c r="N138" s="76">
        <f t="shared" si="41"/>
        <v>0.08423460898502495</v>
      </c>
      <c r="O138" s="76">
        <f t="shared" si="41"/>
        <v>0.08487746563060371</v>
      </c>
      <c r="P138" s="76">
        <f t="shared" si="41"/>
        <v>0.08728079016327353</v>
      </c>
      <c r="Q138" s="76">
        <f t="shared" si="41"/>
        <v>0.08503328322954692</v>
      </c>
      <c r="R138" s="76">
        <f t="shared" si="41"/>
        <v>0.08807045636509207</v>
      </c>
      <c r="S138" s="76">
        <f t="shared" si="41"/>
        <v>0.07949190739602541</v>
      </c>
      <c r="T138" s="76">
        <f t="shared" si="41"/>
        <v>0.07971168115327538</v>
      </c>
      <c r="U138" s="76">
        <f t="shared" si="41"/>
        <v>0.08096192384769539</v>
      </c>
      <c r="V138" s="76">
        <f t="shared" si="41"/>
        <v>0.08224674022066199</v>
      </c>
      <c r="W138" s="76">
        <f t="shared" si="41"/>
        <v>0.07835972391392611</v>
      </c>
      <c r="X138" s="76">
        <f t="shared" si="41"/>
        <v>0.07798066595059076</v>
      </c>
      <c r="Y138" s="76">
        <f t="shared" si="41"/>
        <v>0.07626146788990826</v>
      </c>
      <c r="Z138" s="76">
        <f t="shared" si="41"/>
        <v>0.0718867507188675</v>
      </c>
      <c r="AA138" s="76">
        <f t="shared" si="41"/>
        <v>0.07846441947565543</v>
      </c>
      <c r="AB138" s="76">
        <f t="shared" si="41"/>
        <v>0.07322297955209348</v>
      </c>
      <c r="AC138" s="76">
        <f t="shared" si="41"/>
        <v>0.07824466984061271</v>
      </c>
      <c r="AD138" s="76">
        <f t="shared" si="41"/>
        <v>0.07258375048132461</v>
      </c>
      <c r="AE138" s="76">
        <f t="shared" si="41"/>
        <v>0.07373552711761121</v>
      </c>
      <c r="AF138" s="76">
        <f t="shared" si="41"/>
        <v>0.07000183250870441</v>
      </c>
      <c r="AG138" s="76">
        <f t="shared" si="41"/>
        <v>0.07120253164556962</v>
      </c>
      <c r="AH138" s="76">
        <f t="shared" si="41"/>
        <v>0.0711641299876594</v>
      </c>
      <c r="AI138" s="76">
        <f t="shared" si="41"/>
        <v>0.07329105003523609</v>
      </c>
    </row>
    <row r="139" spans="2:35" ht="12.75">
      <c r="B139" s="73" t="s">
        <v>53</v>
      </c>
      <c r="C139" s="76">
        <f t="shared" si="35"/>
        <v>0</v>
      </c>
      <c r="D139" s="76">
        <f aca="true" t="shared" si="42" ref="D139:AI139">D72/D$108</f>
        <v>0</v>
      </c>
      <c r="E139" s="76">
        <f t="shared" si="42"/>
        <v>0</v>
      </c>
      <c r="F139" s="76">
        <f t="shared" si="42"/>
        <v>0</v>
      </c>
      <c r="G139" s="76">
        <f t="shared" si="42"/>
        <v>0</v>
      </c>
      <c r="H139" s="76">
        <f t="shared" si="42"/>
        <v>0</v>
      </c>
      <c r="I139" s="76">
        <f t="shared" si="42"/>
        <v>0</v>
      </c>
      <c r="J139" s="76">
        <f t="shared" si="42"/>
        <v>0</v>
      </c>
      <c r="K139" s="76">
        <f t="shared" si="42"/>
        <v>0</v>
      </c>
      <c r="L139" s="76">
        <f t="shared" si="42"/>
        <v>0</v>
      </c>
      <c r="M139" s="76">
        <f t="shared" si="42"/>
        <v>0</v>
      </c>
      <c r="N139" s="76">
        <f t="shared" si="42"/>
        <v>0</v>
      </c>
      <c r="O139" s="76">
        <f t="shared" si="42"/>
        <v>0</v>
      </c>
      <c r="P139" s="76">
        <f t="shared" si="42"/>
        <v>0</v>
      </c>
      <c r="Q139" s="76">
        <f t="shared" si="42"/>
        <v>0</v>
      </c>
      <c r="R139" s="76">
        <f t="shared" si="42"/>
        <v>0</v>
      </c>
      <c r="S139" s="76">
        <f t="shared" si="42"/>
        <v>0</v>
      </c>
      <c r="T139" s="76">
        <f t="shared" si="42"/>
        <v>0</v>
      </c>
      <c r="U139" s="76">
        <f t="shared" si="42"/>
        <v>0</v>
      </c>
      <c r="V139" s="76">
        <f t="shared" si="42"/>
        <v>0</v>
      </c>
      <c r="W139" s="76">
        <f t="shared" si="42"/>
        <v>0</v>
      </c>
      <c r="X139" s="76">
        <f t="shared" si="42"/>
        <v>0</v>
      </c>
      <c r="Y139" s="76">
        <f t="shared" si="42"/>
        <v>0</v>
      </c>
      <c r="Z139" s="76">
        <f t="shared" si="42"/>
        <v>0</v>
      </c>
      <c r="AA139" s="76">
        <f t="shared" si="42"/>
        <v>0</v>
      </c>
      <c r="AB139" s="76">
        <f t="shared" si="42"/>
        <v>0.0009737098344693282</v>
      </c>
      <c r="AC139" s="76">
        <f t="shared" si="42"/>
        <v>0.001448975367418754</v>
      </c>
      <c r="AD139" s="76">
        <f t="shared" si="42"/>
        <v>0.0025028879476318828</v>
      </c>
      <c r="AE139" s="76">
        <f t="shared" si="42"/>
        <v>0.002640666260410319</v>
      </c>
      <c r="AF139" s="76">
        <f t="shared" si="42"/>
        <v>0.005314275242807403</v>
      </c>
      <c r="AG139" s="76">
        <f t="shared" si="42"/>
        <v>0.004944620253164557</v>
      </c>
      <c r="AH139" s="76">
        <f t="shared" si="42"/>
        <v>0.007404360345536816</v>
      </c>
      <c r="AI139" s="76">
        <f t="shared" si="42"/>
        <v>0.00810429880197322</v>
      </c>
    </row>
    <row r="140" spans="2:35" ht="12.75">
      <c r="B140" s="73" t="s">
        <v>6</v>
      </c>
      <c r="C140" s="76">
        <f t="shared" si="35"/>
        <v>0.012559658377292138</v>
      </c>
      <c r="D140" s="76">
        <f aca="true" t="shared" si="43" ref="D140:AI140">D73/D$108</f>
        <v>0.011444921316165951</v>
      </c>
      <c r="E140" s="76">
        <f t="shared" si="43"/>
        <v>0.0103844454264251</v>
      </c>
      <c r="F140" s="76">
        <f t="shared" si="43"/>
        <v>0.012641673931996512</v>
      </c>
      <c r="G140" s="76">
        <f t="shared" si="43"/>
        <v>0.01089615299088281</v>
      </c>
      <c r="H140" s="76">
        <f t="shared" si="43"/>
        <v>0.010935059138585137</v>
      </c>
      <c r="I140" s="76">
        <f t="shared" si="43"/>
        <v>0.01040149781568546</v>
      </c>
      <c r="J140" s="76">
        <f t="shared" si="43"/>
        <v>0.011717932621887424</v>
      </c>
      <c r="K140" s="76">
        <f t="shared" si="43"/>
        <v>0.010539901053990105</v>
      </c>
      <c r="L140" s="76">
        <f t="shared" si="43"/>
        <v>0.012865497076023392</v>
      </c>
      <c r="M140" s="76">
        <f t="shared" si="43"/>
        <v>0.009805844283192783</v>
      </c>
      <c r="N140" s="76">
        <f t="shared" si="43"/>
        <v>0.009775374376039933</v>
      </c>
      <c r="O140" s="76">
        <f t="shared" si="43"/>
        <v>0.011556086869894401</v>
      </c>
      <c r="P140" s="76">
        <f t="shared" si="43"/>
        <v>0.012900624874017335</v>
      </c>
      <c r="Q140" s="76">
        <f t="shared" si="43"/>
        <v>0.009448142581060769</v>
      </c>
      <c r="R140" s="76">
        <f t="shared" si="43"/>
        <v>0.012409927942353884</v>
      </c>
      <c r="S140" s="76">
        <f t="shared" si="43"/>
        <v>0.012087686949395616</v>
      </c>
      <c r="T140" s="76">
        <f t="shared" si="43"/>
        <v>0.012083951664193343</v>
      </c>
      <c r="U140" s="76">
        <f t="shared" si="43"/>
        <v>0.011422845691382766</v>
      </c>
      <c r="V140" s="76">
        <f t="shared" si="43"/>
        <v>0.013640922768304914</v>
      </c>
      <c r="W140" s="76">
        <f t="shared" si="43"/>
        <v>0.013804303694681283</v>
      </c>
      <c r="X140" s="76">
        <f t="shared" si="43"/>
        <v>0.01417830290010741</v>
      </c>
      <c r="Y140" s="76">
        <f t="shared" si="43"/>
        <v>0.013570336391437308</v>
      </c>
      <c r="Z140" s="76">
        <f t="shared" si="43"/>
        <v>0.010838310108383101</v>
      </c>
      <c r="AA140" s="76">
        <f t="shared" si="43"/>
        <v>0.014044943820224719</v>
      </c>
      <c r="AB140" s="76">
        <f t="shared" si="43"/>
        <v>0.012268743914313535</v>
      </c>
      <c r="AC140" s="76">
        <f t="shared" si="43"/>
        <v>0.011798799420409853</v>
      </c>
      <c r="AD140" s="76">
        <f t="shared" si="43"/>
        <v>0.011744320369657297</v>
      </c>
      <c r="AE140" s="76">
        <f t="shared" si="43"/>
        <v>0.013000203128173878</v>
      </c>
      <c r="AF140" s="76">
        <f t="shared" si="43"/>
        <v>0.012094557449147883</v>
      </c>
      <c r="AG140" s="76">
        <f t="shared" si="43"/>
        <v>0.011669303797468354</v>
      </c>
      <c r="AH140" s="76">
        <f t="shared" si="43"/>
        <v>0.012134923899629783</v>
      </c>
      <c r="AI140" s="76">
        <f t="shared" si="43"/>
        <v>0.009337561663143059</v>
      </c>
    </row>
    <row r="141" spans="2:35" ht="12.75">
      <c r="B141" s="73" t="s">
        <v>7</v>
      </c>
      <c r="C141" s="76">
        <f t="shared" si="35"/>
        <v>0.028887214267771917</v>
      </c>
      <c r="D141" s="76">
        <f aca="true" t="shared" si="44" ref="D141:AI141">D74/D$108</f>
        <v>0.02779480891068874</v>
      </c>
      <c r="E141" s="76">
        <f t="shared" si="44"/>
        <v>0.029606716747680072</v>
      </c>
      <c r="F141" s="76">
        <f t="shared" si="44"/>
        <v>0.02680906713164778</v>
      </c>
      <c r="G141" s="76">
        <f t="shared" si="44"/>
        <v>0.024460751612185902</v>
      </c>
      <c r="H141" s="76">
        <f t="shared" si="44"/>
        <v>0.026779736665922784</v>
      </c>
      <c r="I141" s="76">
        <f t="shared" si="44"/>
        <v>0.02537965467027252</v>
      </c>
      <c r="J141" s="76">
        <f t="shared" si="44"/>
        <v>0.023645114040594266</v>
      </c>
      <c r="K141" s="76">
        <f t="shared" si="44"/>
        <v>0.02710260271026027</v>
      </c>
      <c r="L141" s="76">
        <f t="shared" si="44"/>
        <v>0.026198830409356725</v>
      </c>
      <c r="M141" s="76">
        <f t="shared" si="44"/>
        <v>0.024122376936654245</v>
      </c>
      <c r="N141" s="76">
        <f t="shared" si="44"/>
        <v>0.029534109816971715</v>
      </c>
      <c r="O141" s="76">
        <f t="shared" si="44"/>
        <v>0.02470611675632596</v>
      </c>
      <c r="P141" s="76">
        <f t="shared" si="44"/>
        <v>0.024188671638782504</v>
      </c>
      <c r="Q141" s="76">
        <f t="shared" si="44"/>
        <v>0.027270775177152675</v>
      </c>
      <c r="R141" s="76">
        <f t="shared" si="44"/>
        <v>0.026821457165732587</v>
      </c>
      <c r="S141" s="76">
        <f t="shared" si="44"/>
        <v>0.02110223314894489</v>
      </c>
      <c r="T141" s="76">
        <f t="shared" si="44"/>
        <v>0.024379902480390077</v>
      </c>
      <c r="U141" s="76">
        <f t="shared" si="44"/>
        <v>0.024248496993987977</v>
      </c>
      <c r="V141" s="76">
        <f t="shared" si="44"/>
        <v>0.023269809428284854</v>
      </c>
      <c r="W141" s="76">
        <f t="shared" si="44"/>
        <v>0.024563540397888755</v>
      </c>
      <c r="X141" s="76">
        <f t="shared" si="44"/>
        <v>0.018689581095596132</v>
      </c>
      <c r="Y141" s="76">
        <f t="shared" si="44"/>
        <v>0.021597859327217125</v>
      </c>
      <c r="Z141" s="76">
        <f t="shared" si="44"/>
        <v>0.022340190223401904</v>
      </c>
      <c r="AA141" s="76">
        <f t="shared" si="44"/>
        <v>0.020973782771535582</v>
      </c>
      <c r="AB141" s="76">
        <f t="shared" si="44"/>
        <v>0.021811100292112952</v>
      </c>
      <c r="AC141" s="76">
        <f t="shared" si="44"/>
        <v>0.021527634030221485</v>
      </c>
      <c r="AD141" s="76">
        <f t="shared" si="44"/>
        <v>0.019060454370427415</v>
      </c>
      <c r="AE141" s="76">
        <f t="shared" si="44"/>
        <v>0.021125330083282552</v>
      </c>
      <c r="AF141" s="76">
        <f t="shared" si="44"/>
        <v>0.020524097489463076</v>
      </c>
      <c r="AG141" s="76">
        <f t="shared" si="44"/>
        <v>0.020569620253164556</v>
      </c>
      <c r="AH141" s="76">
        <f t="shared" si="44"/>
        <v>0.0195392842451666</v>
      </c>
      <c r="AI141" s="76">
        <f t="shared" si="44"/>
        <v>0.019203664552501762</v>
      </c>
    </row>
    <row r="142" spans="2:35" ht="12.75">
      <c r="B142" s="73" t="s">
        <v>8</v>
      </c>
      <c r="C142" s="76">
        <f t="shared" si="35"/>
        <v>0.016076362722933935</v>
      </c>
      <c r="D142" s="76">
        <f aca="true" t="shared" si="45" ref="D142:AI142">D75/D$108</f>
        <v>0.015736766809728183</v>
      </c>
      <c r="E142" s="76">
        <f t="shared" si="45"/>
        <v>0.015466195315952275</v>
      </c>
      <c r="F142" s="76">
        <f t="shared" si="45"/>
        <v>0.015257192676547515</v>
      </c>
      <c r="G142" s="76">
        <f t="shared" si="45"/>
        <v>0.0155659328441183</v>
      </c>
      <c r="H142" s="76">
        <f t="shared" si="45"/>
        <v>0.014952019638473556</v>
      </c>
      <c r="I142" s="76">
        <f t="shared" si="45"/>
        <v>0.014770126898273351</v>
      </c>
      <c r="J142" s="76">
        <f t="shared" si="45"/>
        <v>0.016321406151914627</v>
      </c>
      <c r="K142" s="76">
        <f t="shared" si="45"/>
        <v>0.015917401591740158</v>
      </c>
      <c r="L142" s="76">
        <f t="shared" si="45"/>
        <v>0.01847953216374269</v>
      </c>
      <c r="M142" s="76">
        <f t="shared" si="45"/>
        <v>0.015689350853108453</v>
      </c>
      <c r="N142" s="76">
        <f t="shared" si="45"/>
        <v>0.015806988352745424</v>
      </c>
      <c r="O142" s="76">
        <f t="shared" si="45"/>
        <v>0.01593943016537159</v>
      </c>
      <c r="P142" s="76">
        <f t="shared" si="45"/>
        <v>0.015117919774239064</v>
      </c>
      <c r="Q142" s="76">
        <f t="shared" si="45"/>
        <v>0.015245866437620785</v>
      </c>
      <c r="R142" s="76">
        <f t="shared" si="45"/>
        <v>0.01521216973578863</v>
      </c>
      <c r="S142" s="76">
        <f t="shared" si="45"/>
        <v>0.015980331899200985</v>
      </c>
      <c r="T142" s="76">
        <f t="shared" si="45"/>
        <v>0.0158999364002544</v>
      </c>
      <c r="U142" s="76">
        <f t="shared" si="45"/>
        <v>0.014428857715430862</v>
      </c>
      <c r="V142" s="76">
        <f t="shared" si="45"/>
        <v>0.014844533600802408</v>
      </c>
      <c r="W142" s="76">
        <f t="shared" si="45"/>
        <v>0.015428339423467316</v>
      </c>
      <c r="X142" s="76">
        <f t="shared" si="45"/>
        <v>0.014607948442534909</v>
      </c>
      <c r="Y142" s="76">
        <f t="shared" si="45"/>
        <v>0.014717125382262997</v>
      </c>
      <c r="Z142" s="76">
        <f t="shared" si="45"/>
        <v>0.0123866401238664</v>
      </c>
      <c r="AA142" s="76">
        <f t="shared" si="45"/>
        <v>0.014232209737827715</v>
      </c>
      <c r="AB142" s="76">
        <f t="shared" si="45"/>
        <v>0.01421616358325219</v>
      </c>
      <c r="AC142" s="76">
        <f t="shared" si="45"/>
        <v>0.013247774787828607</v>
      </c>
      <c r="AD142" s="76">
        <f t="shared" si="45"/>
        <v>0.015594917212167885</v>
      </c>
      <c r="AE142" s="76">
        <f t="shared" si="45"/>
        <v>0.013609587649807029</v>
      </c>
      <c r="AF142" s="76">
        <f t="shared" si="45"/>
        <v>0.01154480483782298</v>
      </c>
      <c r="AG142" s="76">
        <f t="shared" si="45"/>
        <v>0.014438291139240507</v>
      </c>
      <c r="AH142" s="76">
        <f t="shared" si="45"/>
        <v>0.013780337309749074</v>
      </c>
      <c r="AI142" s="76">
        <f t="shared" si="45"/>
        <v>0.013742071881606765</v>
      </c>
    </row>
    <row r="143" spans="2:35" ht="12.75">
      <c r="B143" s="73" t="s">
        <v>9</v>
      </c>
      <c r="C143" s="76">
        <f t="shared" si="35"/>
        <v>0.11605124340617935</v>
      </c>
      <c r="D143" s="76">
        <f aca="true" t="shared" si="46" ref="D143:AI143">D76/D$108</f>
        <v>0.11914980584508482</v>
      </c>
      <c r="E143" s="76">
        <f t="shared" si="46"/>
        <v>0.11886875828546177</v>
      </c>
      <c r="F143" s="76">
        <f t="shared" si="46"/>
        <v>0.11748038360941587</v>
      </c>
      <c r="G143" s="76">
        <f t="shared" si="46"/>
        <v>0.11896820102290416</v>
      </c>
      <c r="H143" s="76">
        <f t="shared" si="46"/>
        <v>0.11939299263557242</v>
      </c>
      <c r="I143" s="76">
        <f t="shared" si="46"/>
        <v>0.12086540461826503</v>
      </c>
      <c r="J143" s="76">
        <f t="shared" si="46"/>
        <v>0.11885331659342958</v>
      </c>
      <c r="K143" s="76">
        <f t="shared" si="46"/>
        <v>0.12346741234674123</v>
      </c>
      <c r="L143" s="76">
        <f t="shared" si="46"/>
        <v>0.12678362573099416</v>
      </c>
      <c r="M143" s="76">
        <f t="shared" si="46"/>
        <v>0.12041576779760738</v>
      </c>
      <c r="N143" s="76">
        <f t="shared" si="46"/>
        <v>0.12416805324459235</v>
      </c>
      <c r="O143" s="76">
        <f t="shared" si="46"/>
        <v>0.12472604104403268</v>
      </c>
      <c r="P143" s="76">
        <f t="shared" si="46"/>
        <v>0.11993549687562992</v>
      </c>
      <c r="Q143" s="76">
        <f t="shared" si="46"/>
        <v>0.12024908739531888</v>
      </c>
      <c r="R143" s="76">
        <f t="shared" si="46"/>
        <v>0.11289031224979984</v>
      </c>
      <c r="S143" s="76">
        <f t="shared" si="46"/>
        <v>0.1210817455439459</v>
      </c>
      <c r="T143" s="76">
        <f t="shared" si="46"/>
        <v>0.11723553105787576</v>
      </c>
      <c r="U143" s="76">
        <f t="shared" si="46"/>
        <v>0.11923847695390781</v>
      </c>
      <c r="V143" s="76">
        <f t="shared" si="46"/>
        <v>0.10912738214643931</v>
      </c>
      <c r="W143" s="76">
        <f t="shared" si="46"/>
        <v>0.11307348761672757</v>
      </c>
      <c r="X143" s="76">
        <f t="shared" si="46"/>
        <v>0.11020408163265306</v>
      </c>
      <c r="Y143" s="76">
        <f t="shared" si="46"/>
        <v>0.1150611620795107</v>
      </c>
      <c r="Z143" s="76">
        <f t="shared" si="46"/>
        <v>0.1117009511170095</v>
      </c>
      <c r="AA143" s="76">
        <f t="shared" si="46"/>
        <v>0.11273408239700375</v>
      </c>
      <c r="AB143" s="76">
        <f t="shared" si="46"/>
        <v>0.11587147030185005</v>
      </c>
      <c r="AC143" s="76">
        <f t="shared" si="46"/>
        <v>0.11633202235561996</v>
      </c>
      <c r="AD143" s="76">
        <f t="shared" si="46"/>
        <v>0.11609549480169426</v>
      </c>
      <c r="AE143" s="76">
        <f t="shared" si="46"/>
        <v>0.11273613650213285</v>
      </c>
      <c r="AF143" s="76">
        <f t="shared" si="46"/>
        <v>0.10958402052409749</v>
      </c>
      <c r="AG143" s="76">
        <f t="shared" si="46"/>
        <v>0.10799050632911393</v>
      </c>
      <c r="AH143" s="76">
        <f t="shared" si="46"/>
        <v>0.11168243521184698</v>
      </c>
      <c r="AI143" s="76">
        <f t="shared" si="46"/>
        <v>0.10923185341789993</v>
      </c>
    </row>
    <row r="144" spans="2:35" ht="12.75">
      <c r="B144" s="73" t="s">
        <v>10</v>
      </c>
      <c r="C144" s="76">
        <f t="shared" si="35"/>
        <v>0.043205224817884955</v>
      </c>
      <c r="D144" s="76">
        <f aca="true" t="shared" si="47" ref="D144:AI144">D77/D$108</f>
        <v>0.03801348865726548</v>
      </c>
      <c r="E144" s="76">
        <f t="shared" si="47"/>
        <v>0.035572249226690236</v>
      </c>
      <c r="F144" s="76">
        <f t="shared" si="47"/>
        <v>0.04250217959895379</v>
      </c>
      <c r="G144" s="76">
        <f t="shared" si="47"/>
        <v>0.04291750055592617</v>
      </c>
      <c r="H144" s="76">
        <f t="shared" si="47"/>
        <v>0.042624414193260435</v>
      </c>
      <c r="I144" s="76">
        <f t="shared" si="47"/>
        <v>0.041814021219055544</v>
      </c>
      <c r="J144" s="76">
        <f t="shared" si="47"/>
        <v>0.04749947687800795</v>
      </c>
      <c r="K144" s="76">
        <f t="shared" si="47"/>
        <v>0.047322004732200475</v>
      </c>
      <c r="L144" s="76">
        <f t="shared" si="47"/>
        <v>0.04725146198830409</v>
      </c>
      <c r="M144" s="76">
        <f t="shared" si="47"/>
        <v>0.04569523435967837</v>
      </c>
      <c r="N144" s="76">
        <f t="shared" si="47"/>
        <v>0.04970881863560732</v>
      </c>
      <c r="O144" s="76">
        <f t="shared" si="47"/>
        <v>0.04363419007770472</v>
      </c>
      <c r="P144" s="76">
        <f t="shared" si="47"/>
        <v>0.05039306591413022</v>
      </c>
      <c r="Q144" s="76">
        <f t="shared" si="47"/>
        <v>0.04681125187889199</v>
      </c>
      <c r="R144" s="76">
        <f t="shared" si="47"/>
        <v>0.04643714971977582</v>
      </c>
      <c r="S144" s="76">
        <f t="shared" si="47"/>
        <v>0.04527760704773612</v>
      </c>
      <c r="T144" s="76">
        <f t="shared" si="47"/>
        <v>0.04197583209667161</v>
      </c>
      <c r="U144" s="76">
        <f t="shared" si="47"/>
        <v>0.0438877755511022</v>
      </c>
      <c r="V144" s="76">
        <f t="shared" si="47"/>
        <v>0.04252758274824473</v>
      </c>
      <c r="W144" s="76">
        <f t="shared" si="47"/>
        <v>0.04933008526187576</v>
      </c>
      <c r="X144" s="76">
        <f t="shared" si="47"/>
        <v>0.042320085929108485</v>
      </c>
      <c r="Y144" s="76">
        <f t="shared" si="47"/>
        <v>0.04319571865443425</v>
      </c>
      <c r="Z144" s="76">
        <f t="shared" si="47"/>
        <v>0.042689670426896704</v>
      </c>
      <c r="AA144" s="76">
        <f t="shared" si="47"/>
        <v>0.041947565543071164</v>
      </c>
      <c r="AB144" s="76">
        <f t="shared" si="47"/>
        <v>0.04128529698149951</v>
      </c>
      <c r="AC144" s="76">
        <f t="shared" si="47"/>
        <v>0.04057131028772511</v>
      </c>
      <c r="AD144" s="76">
        <f t="shared" si="47"/>
        <v>0.04081632653061224</v>
      </c>
      <c r="AE144" s="76">
        <f t="shared" si="47"/>
        <v>0.043266301035953685</v>
      </c>
      <c r="AF144" s="76">
        <f t="shared" si="47"/>
        <v>0.04233095107201759</v>
      </c>
      <c r="AG144" s="76">
        <f t="shared" si="47"/>
        <v>0.042325949367088604</v>
      </c>
      <c r="AH144" s="76">
        <f t="shared" si="47"/>
        <v>0.04339777869189634</v>
      </c>
      <c r="AI144" s="76">
        <f t="shared" si="47"/>
        <v>0.043164200140944325</v>
      </c>
    </row>
    <row r="145" spans="2:35" ht="12.75">
      <c r="B145" s="73" t="s">
        <v>11</v>
      </c>
      <c r="C145" s="76">
        <f t="shared" si="35"/>
        <v>0.04948505400653102</v>
      </c>
      <c r="D145" s="76">
        <f aca="true" t="shared" si="48" ref="D145:AI145">D78/D$108</f>
        <v>0.043940322910279994</v>
      </c>
      <c r="E145" s="76">
        <f t="shared" si="48"/>
        <v>0.04242156429518339</v>
      </c>
      <c r="F145" s="76">
        <f t="shared" si="48"/>
        <v>0.0472972972972973</v>
      </c>
      <c r="G145" s="76">
        <f t="shared" si="48"/>
        <v>0.044474093840338</v>
      </c>
      <c r="H145" s="76">
        <f t="shared" si="48"/>
        <v>0.040839098415532245</v>
      </c>
      <c r="I145" s="76">
        <f t="shared" si="48"/>
        <v>0.04202205117536925</v>
      </c>
      <c r="J145" s="76">
        <f t="shared" si="48"/>
        <v>0.04184975936388366</v>
      </c>
      <c r="K145" s="76">
        <f t="shared" si="48"/>
        <v>0.04215960421596042</v>
      </c>
      <c r="L145" s="76">
        <f t="shared" si="48"/>
        <v>0.040467836257309944</v>
      </c>
      <c r="M145" s="76">
        <f t="shared" si="48"/>
        <v>0.04098842910374583</v>
      </c>
      <c r="N145" s="76">
        <f t="shared" si="48"/>
        <v>0.039725457570715474</v>
      </c>
      <c r="O145" s="76">
        <f t="shared" si="48"/>
        <v>0.041044032675831836</v>
      </c>
      <c r="P145" s="76">
        <f t="shared" si="48"/>
        <v>0.04071759725861721</v>
      </c>
      <c r="Q145" s="76">
        <f t="shared" si="48"/>
        <v>0.040369336482714194</v>
      </c>
      <c r="R145" s="76">
        <f t="shared" si="48"/>
        <v>0.041032826261008806</v>
      </c>
      <c r="S145" s="76">
        <f t="shared" si="48"/>
        <v>0.03954107764802295</v>
      </c>
      <c r="T145" s="76">
        <f t="shared" si="48"/>
        <v>0.03985584057663769</v>
      </c>
      <c r="U145" s="76">
        <f t="shared" si="48"/>
        <v>0.04208416833667335</v>
      </c>
      <c r="V145" s="76">
        <f t="shared" si="48"/>
        <v>0.03691073219658977</v>
      </c>
      <c r="W145" s="76">
        <f t="shared" si="48"/>
        <v>0.04100690215184734</v>
      </c>
      <c r="X145" s="76">
        <f t="shared" si="48"/>
        <v>0.0406015037593985</v>
      </c>
      <c r="Y145" s="76">
        <f t="shared" si="48"/>
        <v>0.03688837920489297</v>
      </c>
      <c r="Z145" s="76">
        <f t="shared" si="48"/>
        <v>0.039150630391506305</v>
      </c>
      <c r="AA145" s="76">
        <f t="shared" si="48"/>
        <v>0.03801498127340824</v>
      </c>
      <c r="AB145" s="76">
        <f t="shared" si="48"/>
        <v>0.0373904576436222</v>
      </c>
      <c r="AC145" s="76">
        <f t="shared" si="48"/>
        <v>0.04036431380666529</v>
      </c>
      <c r="AD145" s="76">
        <f t="shared" si="48"/>
        <v>0.03927608779360801</v>
      </c>
      <c r="AE145" s="76">
        <f t="shared" si="48"/>
        <v>0.03757871216737761</v>
      </c>
      <c r="AF145" s="76">
        <f t="shared" si="48"/>
        <v>0.035917170606560384</v>
      </c>
      <c r="AG145" s="76">
        <f t="shared" si="48"/>
        <v>0.03481012658227848</v>
      </c>
      <c r="AH145" s="76">
        <f t="shared" si="48"/>
        <v>0.038872891814068285</v>
      </c>
      <c r="AI145" s="76">
        <f t="shared" si="48"/>
        <v>0.03682170542635659</v>
      </c>
    </row>
    <row r="146" spans="2:35" ht="12.75">
      <c r="B146" s="73" t="s">
        <v>12</v>
      </c>
      <c r="C146" s="76">
        <f t="shared" si="35"/>
        <v>0.0007535795026375283</v>
      </c>
      <c r="D146" s="76">
        <f aca="true" t="shared" si="49" ref="D146:AI146">D79/D$108</f>
        <v>0.0020437359493153486</v>
      </c>
      <c r="E146" s="76">
        <f t="shared" si="49"/>
        <v>0.0013256738842244808</v>
      </c>
      <c r="F146" s="76">
        <f t="shared" si="49"/>
        <v>0.0015257192676547515</v>
      </c>
      <c r="G146" s="76">
        <f t="shared" si="49"/>
        <v>0.0022237046920169003</v>
      </c>
      <c r="H146" s="76">
        <f t="shared" si="49"/>
        <v>0.0017853157777281857</v>
      </c>
      <c r="I146" s="76">
        <f t="shared" si="49"/>
        <v>0.002288329519450801</v>
      </c>
      <c r="J146" s="76">
        <f t="shared" si="49"/>
        <v>0.001464741577735928</v>
      </c>
      <c r="K146" s="76">
        <f t="shared" si="49"/>
        <v>0.0021510002151000217</v>
      </c>
      <c r="L146" s="76">
        <f t="shared" si="49"/>
        <v>0.0025730994152046785</v>
      </c>
      <c r="M146" s="76">
        <f t="shared" si="49"/>
        <v>0.0025495195136301238</v>
      </c>
      <c r="N146" s="76">
        <f t="shared" si="49"/>
        <v>0.003951747088186356</v>
      </c>
      <c r="O146" s="76">
        <f t="shared" si="49"/>
        <v>0.0035863717872086074</v>
      </c>
      <c r="P146" s="76">
        <f t="shared" si="49"/>
        <v>0.0020157226365652087</v>
      </c>
      <c r="Q146" s="76">
        <f t="shared" si="49"/>
        <v>0.003006227184882972</v>
      </c>
      <c r="R146" s="76">
        <f t="shared" si="49"/>
        <v>0.0034027221777421937</v>
      </c>
      <c r="S146" s="76">
        <f t="shared" si="49"/>
        <v>0.0026633886498668305</v>
      </c>
      <c r="T146" s="76">
        <f t="shared" si="49"/>
        <v>0.0025439898240407037</v>
      </c>
      <c r="U146" s="76">
        <f t="shared" si="49"/>
        <v>0.0032064128256513026</v>
      </c>
      <c r="V146" s="76">
        <f t="shared" si="49"/>
        <v>0.0022066198595787363</v>
      </c>
      <c r="W146" s="76">
        <f t="shared" si="49"/>
        <v>0.0016240357287860333</v>
      </c>
      <c r="X146" s="76">
        <f t="shared" si="49"/>
        <v>0.0027926960257787323</v>
      </c>
      <c r="Y146" s="76">
        <f t="shared" si="49"/>
        <v>0.0011467889908256881</v>
      </c>
      <c r="Z146" s="76">
        <f t="shared" si="49"/>
        <v>0.0026542800265428003</v>
      </c>
      <c r="AA146" s="76">
        <f t="shared" si="49"/>
        <v>0.0018726591760299626</v>
      </c>
      <c r="AB146" s="76">
        <f t="shared" si="49"/>
        <v>0.0029211295034079843</v>
      </c>
      <c r="AC146" s="76">
        <f t="shared" si="49"/>
        <v>0.002276961291658042</v>
      </c>
      <c r="AD146" s="76">
        <f t="shared" si="49"/>
        <v>0.0026954177897574125</v>
      </c>
      <c r="AE146" s="76">
        <f t="shared" si="49"/>
        <v>0.002843794434288036</v>
      </c>
      <c r="AF146" s="76">
        <f t="shared" si="49"/>
        <v>0.004031519149715961</v>
      </c>
      <c r="AG146" s="76">
        <f t="shared" si="49"/>
        <v>0.0037579113924050634</v>
      </c>
      <c r="AH146" s="76">
        <f t="shared" si="49"/>
        <v>0.003702180172768408</v>
      </c>
      <c r="AI146" s="76">
        <f t="shared" si="49"/>
        <v>0.005461592670894996</v>
      </c>
    </row>
    <row r="147" spans="2:35" ht="12.75">
      <c r="B147" s="73" t="s">
        <v>13</v>
      </c>
      <c r="C147" s="76">
        <f t="shared" si="35"/>
        <v>0</v>
      </c>
      <c r="D147" s="76">
        <f aca="true" t="shared" si="50" ref="D147:AI147">D80/D$108</f>
        <v>0</v>
      </c>
      <c r="E147" s="76">
        <f t="shared" si="50"/>
        <v>0</v>
      </c>
      <c r="F147" s="76">
        <f t="shared" si="50"/>
        <v>0</v>
      </c>
      <c r="G147" s="76">
        <f t="shared" si="50"/>
        <v>0</v>
      </c>
      <c r="H147" s="76">
        <f t="shared" si="50"/>
        <v>0</v>
      </c>
      <c r="I147" s="76">
        <f t="shared" si="50"/>
        <v>0</v>
      </c>
      <c r="J147" s="76">
        <f t="shared" si="50"/>
        <v>0</v>
      </c>
      <c r="K147" s="76">
        <f t="shared" si="50"/>
        <v>0</v>
      </c>
      <c r="L147" s="76">
        <f t="shared" si="50"/>
        <v>0</v>
      </c>
      <c r="M147" s="76">
        <f t="shared" si="50"/>
        <v>0</v>
      </c>
      <c r="N147" s="76">
        <f t="shared" si="50"/>
        <v>0</v>
      </c>
      <c r="O147" s="76">
        <f t="shared" si="50"/>
        <v>0</v>
      </c>
      <c r="P147" s="76">
        <f t="shared" si="50"/>
        <v>0</v>
      </c>
      <c r="Q147" s="76">
        <f t="shared" si="50"/>
        <v>0</v>
      </c>
      <c r="R147" s="76">
        <f t="shared" si="50"/>
        <v>0</v>
      </c>
      <c r="S147" s="76">
        <f t="shared" si="50"/>
        <v>0</v>
      </c>
      <c r="T147" s="76">
        <f t="shared" si="50"/>
        <v>0</v>
      </c>
      <c r="U147" s="76">
        <f t="shared" si="50"/>
        <v>0</v>
      </c>
      <c r="V147" s="76">
        <f t="shared" si="50"/>
        <v>0</v>
      </c>
      <c r="W147" s="76">
        <f t="shared" si="50"/>
        <v>0</v>
      </c>
      <c r="X147" s="76">
        <f t="shared" si="50"/>
        <v>0.007303974221267454</v>
      </c>
      <c r="Y147" s="76">
        <f t="shared" si="50"/>
        <v>0.015672782874617736</v>
      </c>
      <c r="Z147" s="76">
        <f t="shared" si="50"/>
        <v>0.022119000221190004</v>
      </c>
      <c r="AA147" s="76">
        <f t="shared" si="50"/>
        <v>0.027340823970037453</v>
      </c>
      <c r="AB147" s="76">
        <f t="shared" si="50"/>
        <v>0.03018500486854917</v>
      </c>
      <c r="AC147" s="76">
        <f t="shared" si="50"/>
        <v>0.03229145104533223</v>
      </c>
      <c r="AD147" s="76">
        <f t="shared" si="50"/>
        <v>0.03118983442433577</v>
      </c>
      <c r="AE147" s="76">
        <f t="shared" si="50"/>
        <v>0.03473491773308958</v>
      </c>
      <c r="AF147" s="76">
        <f t="shared" si="50"/>
        <v>0.0392156862745098</v>
      </c>
      <c r="AG147" s="76">
        <f t="shared" si="50"/>
        <v>0.04628164556962025</v>
      </c>
      <c r="AH147" s="76">
        <f t="shared" si="50"/>
        <v>0.0427807486631016</v>
      </c>
      <c r="AI147" s="76">
        <f t="shared" si="50"/>
        <v>0.045454545454545456</v>
      </c>
    </row>
    <row r="148" spans="2:35" ht="12.75">
      <c r="B148" s="73" t="s">
        <v>14</v>
      </c>
      <c r="C148" s="76">
        <f t="shared" si="35"/>
        <v>0.015573976387842251</v>
      </c>
      <c r="D148" s="76">
        <f aca="true" t="shared" si="51" ref="D148:AI148">D81/D$108</f>
        <v>0.02575107296137339</v>
      </c>
      <c r="E148" s="76">
        <f t="shared" si="51"/>
        <v>0.03093239063190455</v>
      </c>
      <c r="F148" s="76">
        <f t="shared" si="51"/>
        <v>0.026373147340889275</v>
      </c>
      <c r="G148" s="76">
        <f t="shared" si="51"/>
        <v>0.029797642873026463</v>
      </c>
      <c r="H148" s="76">
        <f t="shared" si="51"/>
        <v>0.030796697165811203</v>
      </c>
      <c r="I148" s="76">
        <f t="shared" si="51"/>
        <v>0.03058040357811525</v>
      </c>
      <c r="J148" s="76">
        <f t="shared" si="51"/>
        <v>0.023854362837413684</v>
      </c>
      <c r="K148" s="76">
        <f t="shared" si="51"/>
        <v>0.029253602925360292</v>
      </c>
      <c r="L148" s="76">
        <f t="shared" si="51"/>
        <v>0.029473684210526315</v>
      </c>
      <c r="M148" s="76">
        <f t="shared" si="51"/>
        <v>0.031770935477544615</v>
      </c>
      <c r="N148" s="76">
        <f t="shared" si="51"/>
        <v>0.03577371048252912</v>
      </c>
      <c r="O148" s="76">
        <f t="shared" si="51"/>
        <v>0.03905160390516039</v>
      </c>
      <c r="P148" s="76">
        <f t="shared" si="51"/>
        <v>0.04071759725861721</v>
      </c>
      <c r="Q148" s="76">
        <f t="shared" si="51"/>
        <v>0.03865149237706678</v>
      </c>
      <c r="R148" s="76">
        <f t="shared" si="51"/>
        <v>0.042033626901521216</v>
      </c>
      <c r="S148" s="76">
        <f t="shared" si="51"/>
        <v>0.04036058184798197</v>
      </c>
      <c r="T148" s="76">
        <f t="shared" si="51"/>
        <v>0.04706381174475302</v>
      </c>
      <c r="U148" s="76">
        <f t="shared" si="51"/>
        <v>0.043286573146292584</v>
      </c>
      <c r="V148" s="76">
        <f t="shared" si="51"/>
        <v>0.04312938816449348</v>
      </c>
      <c r="W148" s="76">
        <f t="shared" si="51"/>
        <v>0.04689403166869671</v>
      </c>
      <c r="X148" s="76">
        <f t="shared" si="51"/>
        <v>0.050268528464017186</v>
      </c>
      <c r="Y148" s="76">
        <f t="shared" si="51"/>
        <v>0.05064984709480122</v>
      </c>
      <c r="Z148" s="76">
        <f t="shared" si="51"/>
        <v>0.051316080513160806</v>
      </c>
      <c r="AA148" s="76">
        <f t="shared" si="51"/>
        <v>0.04737827715355805</v>
      </c>
      <c r="AB148" s="76">
        <f t="shared" si="51"/>
        <v>0.05121713729308666</v>
      </c>
      <c r="AC148" s="76">
        <f t="shared" si="51"/>
        <v>0.04781618712481888</v>
      </c>
      <c r="AD148" s="76">
        <f t="shared" si="51"/>
        <v>0.04928763958413554</v>
      </c>
      <c r="AE148" s="76">
        <f t="shared" si="51"/>
        <v>0.05017265894779606</v>
      </c>
      <c r="AF148" s="76">
        <f t="shared" si="51"/>
        <v>0.052776250687190766</v>
      </c>
      <c r="AG148" s="76">
        <f t="shared" si="51"/>
        <v>0.04885284810126582</v>
      </c>
      <c r="AH148" s="76">
        <f t="shared" si="51"/>
        <v>0.05018510900863842</v>
      </c>
      <c r="AI148" s="76">
        <f t="shared" si="51"/>
        <v>0.051092318534179</v>
      </c>
    </row>
    <row r="149" spans="2:35" ht="12.75">
      <c r="B149" s="73" t="s">
        <v>15</v>
      </c>
      <c r="C149" s="76">
        <f t="shared" si="35"/>
        <v>0.001004772670183371</v>
      </c>
      <c r="D149" s="76">
        <f aca="true" t="shared" si="52" ref="D149:AI149">D82/D$108</f>
        <v>0.002452483139178418</v>
      </c>
      <c r="E149" s="76">
        <f t="shared" si="52"/>
        <v>0.002209456473707468</v>
      </c>
      <c r="F149" s="76">
        <f t="shared" si="52"/>
        <v>0.002179598953792502</v>
      </c>
      <c r="G149" s="76">
        <f t="shared" si="52"/>
        <v>0.00311318656882366</v>
      </c>
      <c r="H149" s="76">
        <f t="shared" si="52"/>
        <v>0.0035706315554563713</v>
      </c>
      <c r="I149" s="76">
        <f t="shared" si="52"/>
        <v>0.004576659038901602</v>
      </c>
      <c r="J149" s="76">
        <f t="shared" si="52"/>
        <v>0.003975727139568948</v>
      </c>
      <c r="K149" s="76">
        <f t="shared" si="52"/>
        <v>0.00301140030114003</v>
      </c>
      <c r="L149" s="76">
        <f t="shared" si="52"/>
        <v>0.004678362573099415</v>
      </c>
      <c r="M149" s="76">
        <f t="shared" si="52"/>
        <v>0.005295155912924103</v>
      </c>
      <c r="N149" s="76">
        <f t="shared" si="52"/>
        <v>0.003951747088186356</v>
      </c>
      <c r="O149" s="76">
        <f t="shared" si="52"/>
        <v>0.004781829049611476</v>
      </c>
      <c r="P149" s="76">
        <f t="shared" si="52"/>
        <v>0.00463616206409998</v>
      </c>
      <c r="Q149" s="76">
        <f t="shared" si="52"/>
        <v>0.0036504187245007514</v>
      </c>
      <c r="R149" s="76">
        <f t="shared" si="52"/>
        <v>0.004203362690152122</v>
      </c>
      <c r="S149" s="76">
        <f t="shared" si="52"/>
        <v>0.004917025199754148</v>
      </c>
      <c r="T149" s="76">
        <f t="shared" si="52"/>
        <v>0.003603985584057664</v>
      </c>
      <c r="U149" s="76">
        <f t="shared" si="52"/>
        <v>0.006012024048096192</v>
      </c>
      <c r="V149" s="76">
        <f t="shared" si="52"/>
        <v>0.005616850551654965</v>
      </c>
      <c r="W149" s="76">
        <f t="shared" si="52"/>
        <v>0.005075111652456354</v>
      </c>
      <c r="X149" s="76">
        <f t="shared" si="52"/>
        <v>0.0051557465091299675</v>
      </c>
      <c r="Y149" s="76">
        <f t="shared" si="52"/>
        <v>0.0061162079510703364</v>
      </c>
      <c r="Z149" s="76">
        <f t="shared" si="52"/>
        <v>0.004866180048661801</v>
      </c>
      <c r="AA149" s="76">
        <f t="shared" si="52"/>
        <v>0.006367041198501872</v>
      </c>
      <c r="AB149" s="76">
        <f t="shared" si="52"/>
        <v>0.005452775073028238</v>
      </c>
      <c r="AC149" s="76">
        <f t="shared" si="52"/>
        <v>0.005795901469675016</v>
      </c>
      <c r="AD149" s="76">
        <f t="shared" si="52"/>
        <v>0.007701193685021178</v>
      </c>
      <c r="AE149" s="76">
        <f t="shared" si="52"/>
        <v>0.005281332520820638</v>
      </c>
      <c r="AF149" s="76">
        <f t="shared" si="52"/>
        <v>0.007879787428990287</v>
      </c>
      <c r="AG149" s="76">
        <f t="shared" si="52"/>
        <v>0.005735759493670886</v>
      </c>
      <c r="AH149" s="76">
        <f t="shared" si="52"/>
        <v>0.005758946935417524</v>
      </c>
      <c r="AI149" s="76">
        <f t="shared" si="52"/>
        <v>0.00616631430584919</v>
      </c>
    </row>
    <row r="150" spans="2:35" ht="12.75">
      <c r="B150" s="73" t="s">
        <v>16</v>
      </c>
      <c r="C150" s="76">
        <f t="shared" si="35"/>
        <v>0</v>
      </c>
      <c r="D150" s="76">
        <f aca="true" t="shared" si="53" ref="D150:AI150">D83/D$108</f>
        <v>0</v>
      </c>
      <c r="E150" s="76">
        <f t="shared" si="53"/>
        <v>0</v>
      </c>
      <c r="F150" s="76">
        <f t="shared" si="53"/>
        <v>0</v>
      </c>
      <c r="G150" s="76">
        <f t="shared" si="53"/>
        <v>0</v>
      </c>
      <c r="H150" s="76">
        <f t="shared" si="53"/>
        <v>0</v>
      </c>
      <c r="I150" s="76">
        <f t="shared" si="53"/>
        <v>0</v>
      </c>
      <c r="J150" s="76">
        <f t="shared" si="53"/>
        <v>0</v>
      </c>
      <c r="K150" s="76">
        <f t="shared" si="53"/>
        <v>0.0010755001075500108</v>
      </c>
      <c r="L150" s="76">
        <f t="shared" si="53"/>
        <v>0.0030409356725146198</v>
      </c>
      <c r="M150" s="76">
        <f t="shared" si="53"/>
        <v>0.006079623455579526</v>
      </c>
      <c r="N150" s="76">
        <f t="shared" si="53"/>
        <v>0.00894342762063228</v>
      </c>
      <c r="O150" s="76">
        <f t="shared" si="53"/>
        <v>0.010161386730424387</v>
      </c>
      <c r="P150" s="76">
        <f t="shared" si="53"/>
        <v>0.01612578109252167</v>
      </c>
      <c r="Q150" s="76">
        <f t="shared" si="53"/>
        <v>0.015245866437620785</v>
      </c>
      <c r="R150" s="76">
        <f t="shared" si="53"/>
        <v>0.017413931144915934</v>
      </c>
      <c r="S150" s="76">
        <f t="shared" si="53"/>
        <v>0.022741241548862937</v>
      </c>
      <c r="T150" s="76">
        <f t="shared" si="53"/>
        <v>0.024379902480390077</v>
      </c>
      <c r="U150" s="76">
        <f t="shared" si="53"/>
        <v>0.022444889779559118</v>
      </c>
      <c r="V150" s="76">
        <f t="shared" si="53"/>
        <v>0.02708124373119358</v>
      </c>
      <c r="W150" s="76">
        <f t="shared" si="53"/>
        <v>0.028623629719853837</v>
      </c>
      <c r="X150" s="76">
        <f t="shared" si="53"/>
        <v>0.034156820622986035</v>
      </c>
      <c r="Y150" s="76">
        <f t="shared" si="53"/>
        <v>0.03211009174311927</v>
      </c>
      <c r="Z150" s="76">
        <f t="shared" si="53"/>
        <v>0.028312320283123204</v>
      </c>
      <c r="AA150" s="76">
        <f t="shared" si="53"/>
        <v>0.030337078651685393</v>
      </c>
      <c r="AB150" s="76">
        <f t="shared" si="53"/>
        <v>0.031742940603700094</v>
      </c>
      <c r="AC150" s="76">
        <f t="shared" si="53"/>
        <v>0.03229145104533223</v>
      </c>
      <c r="AD150" s="76">
        <f t="shared" si="53"/>
        <v>0.030612244897959183</v>
      </c>
      <c r="AE150" s="76">
        <f t="shared" si="53"/>
        <v>0.03148486695104611</v>
      </c>
      <c r="AF150" s="76">
        <f t="shared" si="53"/>
        <v>0.034634414513468936</v>
      </c>
      <c r="AG150" s="76">
        <f t="shared" si="53"/>
        <v>0.03540348101265823</v>
      </c>
      <c r="AH150" s="76">
        <f t="shared" si="53"/>
        <v>0.030234471410941998</v>
      </c>
      <c r="AI150" s="76">
        <f t="shared" si="53"/>
        <v>0.03312191684284708</v>
      </c>
    </row>
    <row r="151" spans="2:35" ht="12.75">
      <c r="B151" s="73" t="s">
        <v>17</v>
      </c>
      <c r="C151" s="76">
        <f t="shared" si="35"/>
        <v>0</v>
      </c>
      <c r="D151" s="76">
        <f aca="true" t="shared" si="54" ref="D151:AI151">D84/D$108</f>
        <v>0</v>
      </c>
      <c r="E151" s="76">
        <f t="shared" si="54"/>
        <v>0</v>
      </c>
      <c r="F151" s="76">
        <f t="shared" si="54"/>
        <v>0</v>
      </c>
      <c r="G151" s="76">
        <f t="shared" si="54"/>
        <v>0</v>
      </c>
      <c r="H151" s="76">
        <f t="shared" si="54"/>
        <v>0</v>
      </c>
      <c r="I151" s="76">
        <f t="shared" si="54"/>
        <v>0</v>
      </c>
      <c r="J151" s="76">
        <f t="shared" si="54"/>
        <v>0</v>
      </c>
      <c r="K151" s="76">
        <f t="shared" si="54"/>
        <v>0</v>
      </c>
      <c r="L151" s="76">
        <f t="shared" si="54"/>
        <v>0</v>
      </c>
      <c r="M151" s="76">
        <f t="shared" si="54"/>
        <v>0</v>
      </c>
      <c r="N151" s="76">
        <f t="shared" si="54"/>
        <v>0</v>
      </c>
      <c r="O151" s="76">
        <f t="shared" si="54"/>
        <v>0</v>
      </c>
      <c r="P151" s="76">
        <f t="shared" si="54"/>
        <v>0</v>
      </c>
      <c r="Q151" s="76">
        <f t="shared" si="54"/>
        <v>0</v>
      </c>
      <c r="R151" s="76">
        <f t="shared" si="54"/>
        <v>0</v>
      </c>
      <c r="S151" s="76">
        <f t="shared" si="54"/>
        <v>0</v>
      </c>
      <c r="T151" s="76">
        <f t="shared" si="54"/>
        <v>0</v>
      </c>
      <c r="U151" s="76">
        <f t="shared" si="54"/>
        <v>0</v>
      </c>
      <c r="V151" s="76">
        <f t="shared" si="54"/>
        <v>0</v>
      </c>
      <c r="W151" s="76">
        <f t="shared" si="54"/>
        <v>0.0004060089321965083</v>
      </c>
      <c r="X151" s="76">
        <f t="shared" si="54"/>
        <v>0.001933404940923738</v>
      </c>
      <c r="Y151" s="76">
        <f t="shared" si="54"/>
        <v>0.004969418960244648</v>
      </c>
      <c r="Z151" s="76">
        <f t="shared" si="54"/>
        <v>0.005529750055297501</v>
      </c>
      <c r="AA151" s="76">
        <f t="shared" si="54"/>
        <v>0.0054307116104868915</v>
      </c>
      <c r="AB151" s="76">
        <f t="shared" si="54"/>
        <v>0.006815968841285297</v>
      </c>
      <c r="AC151" s="76">
        <f t="shared" si="54"/>
        <v>0.008072862761333057</v>
      </c>
      <c r="AD151" s="76">
        <f t="shared" si="54"/>
        <v>0.00712360415864459</v>
      </c>
      <c r="AE151" s="76">
        <f t="shared" si="54"/>
        <v>0.007921998781230956</v>
      </c>
      <c r="AF151" s="76">
        <f t="shared" si="54"/>
        <v>0.007513285688107018</v>
      </c>
      <c r="AG151" s="76">
        <f t="shared" si="54"/>
        <v>0.007515822784810127</v>
      </c>
      <c r="AH151" s="76">
        <f t="shared" si="54"/>
        <v>0.007610037021801728</v>
      </c>
      <c r="AI151" s="76">
        <f t="shared" si="54"/>
        <v>0.009513742071881607</v>
      </c>
    </row>
    <row r="152" spans="2:35" ht="12.75">
      <c r="B152" s="73" t="s">
        <v>18</v>
      </c>
      <c r="C152" s="76">
        <f t="shared" si="35"/>
        <v>0</v>
      </c>
      <c r="D152" s="76">
        <f aca="true" t="shared" si="55" ref="D152:AI152">D85/D$108</f>
        <v>0</v>
      </c>
      <c r="E152" s="76">
        <f t="shared" si="55"/>
        <v>0</v>
      </c>
      <c r="F152" s="76">
        <f t="shared" si="55"/>
        <v>0</v>
      </c>
      <c r="G152" s="76">
        <f t="shared" si="55"/>
        <v>0</v>
      </c>
      <c r="H152" s="76">
        <f t="shared" si="55"/>
        <v>0</v>
      </c>
      <c r="I152" s="76">
        <f t="shared" si="55"/>
        <v>0</v>
      </c>
      <c r="J152" s="76">
        <f t="shared" si="55"/>
        <v>0</v>
      </c>
      <c r="K152" s="76">
        <f t="shared" si="55"/>
        <v>0</v>
      </c>
      <c r="L152" s="76">
        <f t="shared" si="55"/>
        <v>0</v>
      </c>
      <c r="M152" s="76">
        <f t="shared" si="55"/>
        <v>0</v>
      </c>
      <c r="N152" s="76">
        <f t="shared" si="55"/>
        <v>0</v>
      </c>
      <c r="O152" s="76">
        <f t="shared" si="55"/>
        <v>0</v>
      </c>
      <c r="P152" s="76">
        <f t="shared" si="55"/>
        <v>0</v>
      </c>
      <c r="Q152" s="76">
        <f t="shared" si="55"/>
        <v>0</v>
      </c>
      <c r="R152" s="76">
        <f t="shared" si="55"/>
        <v>0</v>
      </c>
      <c r="S152" s="76">
        <f t="shared" si="55"/>
        <v>0</v>
      </c>
      <c r="T152" s="76">
        <f t="shared" si="55"/>
        <v>0</v>
      </c>
      <c r="U152" s="76">
        <f t="shared" si="55"/>
        <v>0</v>
      </c>
      <c r="V152" s="76">
        <f t="shared" si="55"/>
        <v>0</v>
      </c>
      <c r="W152" s="76">
        <f t="shared" si="55"/>
        <v>0</v>
      </c>
      <c r="X152" s="76">
        <f t="shared" si="55"/>
        <v>0.0015037593984962407</v>
      </c>
      <c r="Y152" s="76">
        <f t="shared" si="55"/>
        <v>0.0017201834862385322</v>
      </c>
      <c r="Z152" s="76">
        <f t="shared" si="55"/>
        <v>0.0019907100199071004</v>
      </c>
      <c r="AA152" s="76">
        <f t="shared" si="55"/>
        <v>0.004307116104868914</v>
      </c>
      <c r="AB152" s="76">
        <f t="shared" si="55"/>
        <v>0.0038948393378773127</v>
      </c>
      <c r="AC152" s="76">
        <f t="shared" si="55"/>
        <v>0.005381908507555371</v>
      </c>
      <c r="AD152" s="76">
        <f t="shared" si="55"/>
        <v>0.005390835579514825</v>
      </c>
      <c r="AE152" s="76">
        <f t="shared" si="55"/>
        <v>0.006296973390209222</v>
      </c>
      <c r="AF152" s="76">
        <f t="shared" si="55"/>
        <v>0.008246289169873557</v>
      </c>
      <c r="AG152" s="76">
        <f t="shared" si="55"/>
        <v>0.006329113924050633</v>
      </c>
      <c r="AH152" s="76">
        <f t="shared" si="55"/>
        <v>0.005964623611682435</v>
      </c>
      <c r="AI152" s="76">
        <f t="shared" si="55"/>
        <v>0.0065186751233262865</v>
      </c>
    </row>
    <row r="153" spans="2:35" ht="12.75">
      <c r="B153" s="73" t="s">
        <v>19</v>
      </c>
      <c r="C153" s="76">
        <f t="shared" si="35"/>
        <v>0.0012559658377292139</v>
      </c>
      <c r="D153" s="76">
        <f aca="true" t="shared" si="56" ref="D153:AI153">D86/D$108</f>
        <v>0.002248109544246883</v>
      </c>
      <c r="E153" s="76">
        <f t="shared" si="56"/>
        <v>0.0017675651789659744</v>
      </c>
      <c r="F153" s="76">
        <f t="shared" si="56"/>
        <v>0.0015257192676547515</v>
      </c>
      <c r="G153" s="76">
        <f t="shared" si="56"/>
        <v>0.00155659328441183</v>
      </c>
      <c r="H153" s="76">
        <f t="shared" si="56"/>
        <v>0.002901138138808302</v>
      </c>
      <c r="I153" s="76">
        <f t="shared" si="56"/>
        <v>0.0027043894320782193</v>
      </c>
      <c r="J153" s="76">
        <f t="shared" si="56"/>
        <v>0.002092487968194183</v>
      </c>
      <c r="K153" s="76">
        <f t="shared" si="56"/>
        <v>0.00301140030114003</v>
      </c>
      <c r="L153" s="76">
        <f t="shared" si="56"/>
        <v>0.002105263157894737</v>
      </c>
      <c r="M153" s="76">
        <f t="shared" si="56"/>
        <v>0.002353402627966268</v>
      </c>
      <c r="N153" s="76">
        <f t="shared" si="56"/>
        <v>0.0022878535773710484</v>
      </c>
      <c r="O153" s="76">
        <f t="shared" si="56"/>
        <v>0.0033871289101414623</v>
      </c>
      <c r="P153" s="76">
        <f t="shared" si="56"/>
        <v>0.0022172949002217295</v>
      </c>
      <c r="Q153" s="76">
        <f t="shared" si="56"/>
        <v>0.002576766158471119</v>
      </c>
      <c r="R153" s="76">
        <f t="shared" si="56"/>
        <v>0.0028022417934347476</v>
      </c>
      <c r="S153" s="76">
        <f t="shared" si="56"/>
        <v>0.003278016799836099</v>
      </c>
      <c r="T153" s="76">
        <f t="shared" si="56"/>
        <v>0.002755988976044096</v>
      </c>
      <c r="U153" s="76">
        <f t="shared" si="56"/>
        <v>0.0022044088176352704</v>
      </c>
      <c r="V153" s="76">
        <f t="shared" si="56"/>
        <v>0.0028084252758274826</v>
      </c>
      <c r="W153" s="76">
        <f t="shared" si="56"/>
        <v>0.0036540803897685747</v>
      </c>
      <c r="X153" s="76">
        <f t="shared" si="56"/>
        <v>0.0030075187969924814</v>
      </c>
      <c r="Y153" s="76">
        <f t="shared" si="56"/>
        <v>0.00191131498470948</v>
      </c>
      <c r="Z153" s="76">
        <f t="shared" si="56"/>
        <v>0.0026542800265428003</v>
      </c>
      <c r="AA153" s="76">
        <f t="shared" si="56"/>
        <v>0.0026217228464419477</v>
      </c>
      <c r="AB153" s="76">
        <f t="shared" si="56"/>
        <v>0.0029211295034079843</v>
      </c>
      <c r="AC153" s="76">
        <f t="shared" si="56"/>
        <v>0.002483957772717864</v>
      </c>
      <c r="AD153" s="76">
        <f t="shared" si="56"/>
        <v>0.0034655371582595304</v>
      </c>
      <c r="AE153" s="76">
        <f t="shared" si="56"/>
        <v>0.0032500507820434695</v>
      </c>
      <c r="AF153" s="76">
        <f t="shared" si="56"/>
        <v>0.0038482682792743265</v>
      </c>
      <c r="AG153" s="76">
        <f t="shared" si="56"/>
        <v>0.003560126582278481</v>
      </c>
      <c r="AH153" s="76">
        <f t="shared" si="56"/>
        <v>0.0024681201151789387</v>
      </c>
      <c r="AI153" s="76">
        <f t="shared" si="56"/>
        <v>0.0029950669485553204</v>
      </c>
    </row>
    <row r="154" spans="2:35" ht="12.75">
      <c r="B154" s="73" t="s">
        <v>20</v>
      </c>
      <c r="C154" s="76">
        <f t="shared" si="35"/>
        <v>0.017583521728208994</v>
      </c>
      <c r="D154" s="76">
        <f aca="true" t="shared" si="57" ref="D154:AI154">D87/D$108</f>
        <v>0.017984876353975065</v>
      </c>
      <c r="E154" s="76">
        <f t="shared" si="57"/>
        <v>0.017012814847547502</v>
      </c>
      <c r="F154" s="76">
        <f t="shared" si="57"/>
        <v>0.018744551002615517</v>
      </c>
      <c r="G154" s="76">
        <f t="shared" si="57"/>
        <v>0.01890148988214365</v>
      </c>
      <c r="H154" s="76">
        <f t="shared" si="57"/>
        <v>0.015398348582905601</v>
      </c>
      <c r="I154" s="76">
        <f t="shared" si="57"/>
        <v>0.016850426461410443</v>
      </c>
      <c r="J154" s="76">
        <f t="shared" si="57"/>
        <v>0.016321406151914627</v>
      </c>
      <c r="K154" s="76">
        <f t="shared" si="57"/>
        <v>0.016132501613250163</v>
      </c>
      <c r="L154" s="76">
        <f t="shared" si="57"/>
        <v>0.0152046783625731</v>
      </c>
      <c r="M154" s="76">
        <f t="shared" si="57"/>
        <v>0.017650519709747008</v>
      </c>
      <c r="N154" s="76">
        <f t="shared" si="57"/>
        <v>0.01622296173044925</v>
      </c>
      <c r="O154" s="76">
        <f t="shared" si="57"/>
        <v>0.017134887427774456</v>
      </c>
      <c r="P154" s="76">
        <f t="shared" si="57"/>
        <v>0.01431163071961298</v>
      </c>
      <c r="Q154" s="76">
        <f t="shared" si="57"/>
        <v>0.01438694438479708</v>
      </c>
      <c r="R154" s="76">
        <f t="shared" si="57"/>
        <v>0.012810248198558846</v>
      </c>
      <c r="S154" s="76">
        <f t="shared" si="57"/>
        <v>0.015775455849211226</v>
      </c>
      <c r="T154" s="76">
        <f t="shared" si="57"/>
        <v>0.014839940640237439</v>
      </c>
      <c r="U154" s="76">
        <f t="shared" si="57"/>
        <v>0.013226452905811623</v>
      </c>
      <c r="V154" s="76">
        <f t="shared" si="57"/>
        <v>0.01424272818455366</v>
      </c>
      <c r="W154" s="76">
        <f t="shared" si="57"/>
        <v>0.012383272431993504</v>
      </c>
      <c r="X154" s="76">
        <f t="shared" si="57"/>
        <v>0.01439312567132116</v>
      </c>
      <c r="Y154" s="76">
        <f t="shared" si="57"/>
        <v>0.012805810397553517</v>
      </c>
      <c r="Z154" s="76">
        <f t="shared" si="57"/>
        <v>0.014156160141561602</v>
      </c>
      <c r="AA154" s="76">
        <f t="shared" si="57"/>
        <v>0.014232209737827715</v>
      </c>
      <c r="AB154" s="76">
        <f t="shared" si="57"/>
        <v>0.013242453748782863</v>
      </c>
      <c r="AC154" s="76">
        <f t="shared" si="57"/>
        <v>0.013040778306768785</v>
      </c>
      <c r="AD154" s="76">
        <f t="shared" si="57"/>
        <v>0.011551790527531768</v>
      </c>
      <c r="AE154" s="76">
        <f t="shared" si="57"/>
        <v>0.013812715823684745</v>
      </c>
      <c r="AF154" s="76">
        <f t="shared" si="57"/>
        <v>0.010445299615173173</v>
      </c>
      <c r="AG154" s="76">
        <f t="shared" si="57"/>
        <v>0.013844936708860759</v>
      </c>
      <c r="AH154" s="76">
        <f t="shared" si="57"/>
        <v>0.01316330728095434</v>
      </c>
      <c r="AI154" s="76">
        <f t="shared" si="57"/>
        <v>0.011099365750528542</v>
      </c>
    </row>
    <row r="155" spans="2:35" ht="12.75">
      <c r="B155" s="73" t="s">
        <v>21</v>
      </c>
      <c r="C155" s="76">
        <f t="shared" si="35"/>
        <v>0.008038181361466968</v>
      </c>
      <c r="D155" s="76">
        <f aca="true" t="shared" si="58" ref="D155:AI155">D88/D$108</f>
        <v>0.009605558961782138</v>
      </c>
      <c r="E155" s="76">
        <f t="shared" si="58"/>
        <v>0.011489173663278833</v>
      </c>
      <c r="F155" s="76">
        <f t="shared" si="58"/>
        <v>0.007192676547515257</v>
      </c>
      <c r="G155" s="76">
        <f t="shared" si="58"/>
        <v>0.00822770736046253</v>
      </c>
      <c r="H155" s="76">
        <f t="shared" si="58"/>
        <v>0.0060254407498326265</v>
      </c>
      <c r="I155" s="76">
        <f t="shared" si="58"/>
        <v>0.007073018514666112</v>
      </c>
      <c r="J155" s="76">
        <f t="shared" si="58"/>
        <v>0.006486712701401967</v>
      </c>
      <c r="K155" s="76">
        <f t="shared" si="58"/>
        <v>0.006883200688320069</v>
      </c>
      <c r="L155" s="76">
        <f t="shared" si="58"/>
        <v>0.007251461988304094</v>
      </c>
      <c r="M155" s="76">
        <f t="shared" si="58"/>
        <v>0.007452441655226515</v>
      </c>
      <c r="N155" s="76">
        <f t="shared" si="58"/>
        <v>0.006447587354409318</v>
      </c>
      <c r="O155" s="76">
        <f t="shared" si="58"/>
        <v>0.007969715082685794</v>
      </c>
      <c r="P155" s="76">
        <f t="shared" si="58"/>
        <v>0.006248740173352147</v>
      </c>
      <c r="Q155" s="76">
        <f t="shared" si="58"/>
        <v>0.005797723856560017</v>
      </c>
      <c r="R155" s="76">
        <f t="shared" si="58"/>
        <v>0.006204963971176942</v>
      </c>
      <c r="S155" s="76">
        <f t="shared" si="58"/>
        <v>0.007170661749641467</v>
      </c>
      <c r="T155" s="76">
        <f t="shared" si="58"/>
        <v>0.006995972016111935</v>
      </c>
      <c r="U155" s="76">
        <f t="shared" si="58"/>
        <v>0.006613226452905812</v>
      </c>
      <c r="V155" s="76">
        <f t="shared" si="58"/>
        <v>0.00802407221664995</v>
      </c>
      <c r="W155" s="76">
        <f t="shared" si="58"/>
        <v>0.007105156313438896</v>
      </c>
      <c r="X155" s="76">
        <f t="shared" si="58"/>
        <v>0.007089151450053705</v>
      </c>
      <c r="Y155" s="76">
        <f t="shared" si="58"/>
        <v>0.005925076452599388</v>
      </c>
      <c r="Z155" s="76">
        <f t="shared" si="58"/>
        <v>0.006414510064145101</v>
      </c>
      <c r="AA155" s="76">
        <f t="shared" si="58"/>
        <v>0.0058052434456928835</v>
      </c>
      <c r="AB155" s="76">
        <f t="shared" si="58"/>
        <v>0.005063291139240506</v>
      </c>
      <c r="AC155" s="76">
        <f t="shared" si="58"/>
        <v>0.006002897950734837</v>
      </c>
      <c r="AD155" s="76">
        <f t="shared" si="58"/>
        <v>0.006546014632268001</v>
      </c>
      <c r="AE155" s="76">
        <f t="shared" si="58"/>
        <v>0.005078204346942921</v>
      </c>
      <c r="AF155" s="76">
        <f t="shared" si="58"/>
        <v>0.006597031335898846</v>
      </c>
      <c r="AG155" s="76">
        <f t="shared" si="58"/>
        <v>0.005933544303797469</v>
      </c>
      <c r="AH155" s="76">
        <f t="shared" si="58"/>
        <v>0.005964623611682435</v>
      </c>
      <c r="AI155" s="76">
        <f t="shared" si="58"/>
        <v>0.004933051444679351</v>
      </c>
    </row>
    <row r="156" spans="2:35" ht="12.75">
      <c r="B156" s="73" t="s">
        <v>22</v>
      </c>
      <c r="C156" s="76">
        <f t="shared" si="35"/>
        <v>0.004019090680733484</v>
      </c>
      <c r="D156" s="76">
        <f aca="true" t="shared" si="59" ref="D156:AI156">D89/D$108</f>
        <v>0.002861230329041488</v>
      </c>
      <c r="E156" s="76">
        <f t="shared" si="59"/>
        <v>0.0024304021210782146</v>
      </c>
      <c r="F156" s="76">
        <f t="shared" si="59"/>
        <v>0.003051438535309503</v>
      </c>
      <c r="G156" s="76">
        <f t="shared" si="59"/>
        <v>0.00355792750722704</v>
      </c>
      <c r="H156" s="76">
        <f t="shared" si="59"/>
        <v>0.004240124972104441</v>
      </c>
      <c r="I156" s="76">
        <f t="shared" si="59"/>
        <v>0.003536509257333056</v>
      </c>
      <c r="J156" s="76">
        <f t="shared" si="59"/>
        <v>0.003138731952291274</v>
      </c>
      <c r="K156" s="76">
        <f t="shared" si="59"/>
        <v>0.004086900408690041</v>
      </c>
      <c r="L156" s="76">
        <f t="shared" si="59"/>
        <v>0.0044444444444444444</v>
      </c>
      <c r="M156" s="76">
        <f t="shared" si="59"/>
        <v>0.0029417532849578347</v>
      </c>
      <c r="N156" s="76">
        <f t="shared" si="59"/>
        <v>0.003119800332778702</v>
      </c>
      <c r="O156" s="76">
        <f t="shared" si="59"/>
        <v>0.002390914524805738</v>
      </c>
      <c r="P156" s="76">
        <f t="shared" si="59"/>
        <v>0.002620439427534771</v>
      </c>
      <c r="Q156" s="76">
        <f t="shared" si="59"/>
        <v>0.0027914966716770452</v>
      </c>
      <c r="R156" s="76">
        <f t="shared" si="59"/>
        <v>0.002602081665332266</v>
      </c>
      <c r="S156" s="76">
        <f t="shared" si="59"/>
        <v>0.0036877688998156115</v>
      </c>
      <c r="T156" s="76">
        <f t="shared" si="59"/>
        <v>0.002967988128047488</v>
      </c>
      <c r="U156" s="76">
        <f t="shared" si="59"/>
        <v>0.0036072144288577155</v>
      </c>
      <c r="V156" s="76">
        <f t="shared" si="59"/>
        <v>0.003009027081243731</v>
      </c>
      <c r="W156" s="76">
        <f t="shared" si="59"/>
        <v>0.003451075923670321</v>
      </c>
      <c r="X156" s="76">
        <f t="shared" si="59"/>
        <v>0.0027926960257787323</v>
      </c>
      <c r="Y156" s="76">
        <f t="shared" si="59"/>
        <v>0.0030581039755351682</v>
      </c>
      <c r="Z156" s="76">
        <f t="shared" si="59"/>
        <v>0.0033178500331785005</v>
      </c>
      <c r="AA156" s="76">
        <f t="shared" si="59"/>
        <v>0.003932584269662922</v>
      </c>
      <c r="AB156" s="76">
        <f t="shared" si="59"/>
        <v>0.003310613437195716</v>
      </c>
      <c r="AC156" s="76">
        <f t="shared" si="59"/>
        <v>0.003932933140136618</v>
      </c>
      <c r="AD156" s="76">
        <f t="shared" si="59"/>
        <v>0.0032730073161340006</v>
      </c>
      <c r="AE156" s="76">
        <f t="shared" si="59"/>
        <v>0.004062563477554337</v>
      </c>
      <c r="AF156" s="76">
        <f t="shared" si="59"/>
        <v>0.002748763056624519</v>
      </c>
      <c r="AG156" s="76">
        <f t="shared" si="59"/>
        <v>0.0025712025316455694</v>
      </c>
      <c r="AH156" s="76">
        <f t="shared" si="59"/>
        <v>0.0034965034965034965</v>
      </c>
      <c r="AI156" s="76">
        <f t="shared" si="59"/>
        <v>0.003875968992248062</v>
      </c>
    </row>
    <row r="157" spans="2:35" ht="12.75">
      <c r="B157" s="73" t="s">
        <v>23</v>
      </c>
      <c r="C157" s="76">
        <f t="shared" si="35"/>
        <v>0</v>
      </c>
      <c r="D157" s="76">
        <f aca="true" t="shared" si="60" ref="D157:AI157">D90/D$108</f>
        <v>0</v>
      </c>
      <c r="E157" s="76">
        <f t="shared" si="60"/>
        <v>0</v>
      </c>
      <c r="F157" s="76">
        <f t="shared" si="60"/>
        <v>0</v>
      </c>
      <c r="G157" s="76">
        <f t="shared" si="60"/>
        <v>0</v>
      </c>
      <c r="H157" s="76">
        <f t="shared" si="60"/>
        <v>0</v>
      </c>
      <c r="I157" s="76">
        <f t="shared" si="60"/>
        <v>0</v>
      </c>
      <c r="J157" s="76">
        <f t="shared" si="60"/>
        <v>0</v>
      </c>
      <c r="K157" s="76">
        <f t="shared" si="60"/>
        <v>0</v>
      </c>
      <c r="L157" s="76">
        <f t="shared" si="60"/>
        <v>0</v>
      </c>
      <c r="M157" s="76">
        <f t="shared" si="60"/>
        <v>0</v>
      </c>
      <c r="N157" s="76">
        <f t="shared" si="60"/>
        <v>0</v>
      </c>
      <c r="O157" s="76">
        <f t="shared" si="60"/>
        <v>0</v>
      </c>
      <c r="P157" s="76">
        <f t="shared" si="60"/>
        <v>0</v>
      </c>
      <c r="Q157" s="76">
        <f t="shared" si="60"/>
        <v>0</v>
      </c>
      <c r="R157" s="76">
        <f t="shared" si="60"/>
        <v>0</v>
      </c>
      <c r="S157" s="76">
        <f t="shared" si="60"/>
        <v>0</v>
      </c>
      <c r="T157" s="76">
        <f t="shared" si="60"/>
        <v>0</v>
      </c>
      <c r="U157" s="76">
        <f t="shared" si="60"/>
        <v>0</v>
      </c>
      <c r="V157" s="76">
        <f t="shared" si="60"/>
        <v>0</v>
      </c>
      <c r="W157" s="76">
        <f t="shared" si="60"/>
        <v>0</v>
      </c>
      <c r="X157" s="76">
        <f t="shared" si="60"/>
        <v>0</v>
      </c>
      <c r="Y157" s="76">
        <f t="shared" si="60"/>
        <v>0.008983180428134556</v>
      </c>
      <c r="Z157" s="76">
        <f t="shared" si="60"/>
        <v>0.0203494802034948</v>
      </c>
      <c r="AA157" s="76">
        <f t="shared" si="60"/>
        <v>0.029400749063670413</v>
      </c>
      <c r="AB157" s="76">
        <f t="shared" si="60"/>
        <v>0.03894839337877313</v>
      </c>
      <c r="AC157" s="76">
        <f t="shared" si="60"/>
        <v>0.043262264541502796</v>
      </c>
      <c r="AD157" s="76">
        <f t="shared" si="60"/>
        <v>0.04851752021563342</v>
      </c>
      <c r="AE157" s="76">
        <f t="shared" si="60"/>
        <v>0.04976640260004062</v>
      </c>
      <c r="AF157" s="76">
        <f t="shared" si="60"/>
        <v>0.05002748763056625</v>
      </c>
      <c r="AG157" s="76">
        <f t="shared" si="60"/>
        <v>0.0535996835443038</v>
      </c>
      <c r="AH157" s="76">
        <f t="shared" si="60"/>
        <v>0.058412176059234884</v>
      </c>
      <c r="AI157" s="76">
        <f t="shared" si="60"/>
        <v>0.056906272022551094</v>
      </c>
    </row>
    <row r="158" spans="2:35" ht="12.75">
      <c r="B158" s="73" t="s">
        <v>24</v>
      </c>
      <c r="C158" s="76">
        <f t="shared" si="35"/>
        <v>0.11479527756845014</v>
      </c>
      <c r="D158" s="76">
        <f aca="true" t="shared" si="61" ref="D158:AI158">D91/D$108</f>
        <v>0.11547108113631718</v>
      </c>
      <c r="E158" s="76">
        <f t="shared" si="61"/>
        <v>0.11157755192222714</v>
      </c>
      <c r="F158" s="76">
        <f t="shared" si="61"/>
        <v>0.11573670444638187</v>
      </c>
      <c r="G158" s="76">
        <f t="shared" si="61"/>
        <v>0.11629975539248388</v>
      </c>
      <c r="H158" s="76">
        <f t="shared" si="61"/>
        <v>0.11693818344119616</v>
      </c>
      <c r="I158" s="76">
        <f t="shared" si="61"/>
        <v>0.1250260037445392</v>
      </c>
      <c r="J158" s="76">
        <f t="shared" si="61"/>
        <v>0.12052730696798493</v>
      </c>
      <c r="K158" s="76">
        <f t="shared" si="61"/>
        <v>0.12454291245429125</v>
      </c>
      <c r="L158" s="76">
        <f t="shared" si="61"/>
        <v>0.13005847953216373</v>
      </c>
      <c r="M158" s="76">
        <f t="shared" si="61"/>
        <v>0.12433810551088449</v>
      </c>
      <c r="N158" s="76">
        <f t="shared" si="61"/>
        <v>0.12562396006655574</v>
      </c>
      <c r="O158" s="76">
        <f t="shared" si="61"/>
        <v>0.12412831241283125</v>
      </c>
      <c r="P158" s="76">
        <f t="shared" si="61"/>
        <v>0.1197339246119734</v>
      </c>
      <c r="Q158" s="76">
        <f t="shared" si="61"/>
        <v>0.12261112304058407</v>
      </c>
      <c r="R158" s="76">
        <f t="shared" si="61"/>
        <v>0.12029623698959167</v>
      </c>
      <c r="S158" s="76">
        <f t="shared" si="61"/>
        <v>0.12087686949395615</v>
      </c>
      <c r="T158" s="76">
        <f t="shared" si="61"/>
        <v>0.11999152003391987</v>
      </c>
      <c r="U158" s="76">
        <f t="shared" si="61"/>
        <v>0.1254509018036072</v>
      </c>
      <c r="V158" s="76">
        <f t="shared" si="61"/>
        <v>0.11675025075225677</v>
      </c>
      <c r="W158" s="76">
        <f t="shared" si="61"/>
        <v>0.11652456354039789</v>
      </c>
      <c r="X158" s="76">
        <f t="shared" si="61"/>
        <v>0.10998925886143932</v>
      </c>
      <c r="Y158" s="76">
        <f t="shared" si="61"/>
        <v>0.10818042813455657</v>
      </c>
      <c r="Z158" s="76">
        <f t="shared" si="61"/>
        <v>0.09334218093342181</v>
      </c>
      <c r="AA158" s="76">
        <f t="shared" si="61"/>
        <v>0.08632958801498128</v>
      </c>
      <c r="AB158" s="76">
        <f t="shared" si="61"/>
        <v>0.07945472249269718</v>
      </c>
      <c r="AC158" s="76">
        <f t="shared" si="61"/>
        <v>0.06975781411716</v>
      </c>
      <c r="AD158" s="76">
        <f t="shared" si="61"/>
        <v>0.07239122063919907</v>
      </c>
      <c r="AE158" s="76">
        <f t="shared" si="61"/>
        <v>0.06764168190127971</v>
      </c>
      <c r="AF158" s="76">
        <f t="shared" si="61"/>
        <v>0.06340480117280557</v>
      </c>
      <c r="AG158" s="76">
        <f t="shared" si="61"/>
        <v>0.0625</v>
      </c>
      <c r="AH158" s="76">
        <f t="shared" si="61"/>
        <v>0.05738379267791033</v>
      </c>
      <c r="AI158" s="76">
        <f t="shared" si="61"/>
        <v>0.055849189570119806</v>
      </c>
    </row>
    <row r="159" spans="2:35" ht="12.75">
      <c r="B159" s="73" t="s">
        <v>25</v>
      </c>
      <c r="C159" s="76">
        <f t="shared" si="35"/>
        <v>0.08716402913840743</v>
      </c>
      <c r="D159" s="76">
        <f aca="true" t="shared" si="62" ref="D159:AI159">D92/D$108</f>
        <v>0.0844062947067239</v>
      </c>
      <c r="E159" s="76">
        <f t="shared" si="62"/>
        <v>0.07954043305346885</v>
      </c>
      <c r="F159" s="76">
        <f t="shared" si="62"/>
        <v>0.08238884045335658</v>
      </c>
      <c r="G159" s="76">
        <f t="shared" si="62"/>
        <v>0.08316655548143206</v>
      </c>
      <c r="H159" s="76">
        <f t="shared" si="62"/>
        <v>0.08591832180316894</v>
      </c>
      <c r="I159" s="76">
        <f t="shared" si="62"/>
        <v>0.08342001248179738</v>
      </c>
      <c r="J159" s="76">
        <f t="shared" si="62"/>
        <v>0.0811885331659343</v>
      </c>
      <c r="K159" s="76">
        <f t="shared" si="62"/>
        <v>0.07334910733491073</v>
      </c>
      <c r="L159" s="76">
        <f t="shared" si="62"/>
        <v>0.072046783625731</v>
      </c>
      <c r="M159" s="76">
        <f t="shared" si="62"/>
        <v>0.07883898803686998</v>
      </c>
      <c r="N159" s="76">
        <f t="shared" si="62"/>
        <v>0.07529118136439268</v>
      </c>
      <c r="O159" s="76">
        <f t="shared" si="62"/>
        <v>0.07212592149830643</v>
      </c>
      <c r="P159" s="76">
        <f t="shared" si="62"/>
        <v>0.0743801652892562</v>
      </c>
      <c r="Q159" s="76">
        <f t="shared" si="62"/>
        <v>0.07343783551642688</v>
      </c>
      <c r="R159" s="76">
        <f t="shared" si="62"/>
        <v>0.0744595676541233</v>
      </c>
      <c r="S159" s="76">
        <f t="shared" si="62"/>
        <v>0.07805777504609711</v>
      </c>
      <c r="T159" s="76">
        <f t="shared" si="62"/>
        <v>0.07801568793724825</v>
      </c>
      <c r="U159" s="76">
        <f t="shared" si="62"/>
        <v>0.07054108216432865</v>
      </c>
      <c r="V159" s="76">
        <f t="shared" si="62"/>
        <v>0.07662988966900702</v>
      </c>
      <c r="W159" s="76">
        <f t="shared" si="62"/>
        <v>0.07044254973609419</v>
      </c>
      <c r="X159" s="76">
        <f t="shared" si="62"/>
        <v>0.07540279269602577</v>
      </c>
      <c r="Y159" s="76">
        <f t="shared" si="62"/>
        <v>0.06670489296636085</v>
      </c>
      <c r="Z159" s="76">
        <f t="shared" si="62"/>
        <v>0.06901128069011281</v>
      </c>
      <c r="AA159" s="76">
        <f t="shared" si="62"/>
        <v>0.06610486891385768</v>
      </c>
      <c r="AB159" s="76">
        <f t="shared" si="62"/>
        <v>0.06426484907497566</v>
      </c>
      <c r="AC159" s="76">
        <f t="shared" si="62"/>
        <v>0.0602359759884082</v>
      </c>
      <c r="AD159" s="76">
        <f t="shared" si="62"/>
        <v>0.05968425105891413</v>
      </c>
      <c r="AE159" s="76">
        <f t="shared" si="62"/>
        <v>0.06418850294535852</v>
      </c>
      <c r="AF159" s="76">
        <f t="shared" si="62"/>
        <v>0.06597031335898845</v>
      </c>
      <c r="AG159" s="76">
        <f t="shared" si="62"/>
        <v>0.06151107594936709</v>
      </c>
      <c r="AH159" s="76">
        <f t="shared" si="62"/>
        <v>0.06108597285067873</v>
      </c>
      <c r="AI159" s="76">
        <f t="shared" si="62"/>
        <v>0.05637773079633545</v>
      </c>
    </row>
    <row r="160" spans="2:35" ht="12.75">
      <c r="B160" s="73" t="s">
        <v>26</v>
      </c>
      <c r="C160" s="76">
        <f t="shared" si="35"/>
        <v>0.02989198693795529</v>
      </c>
      <c r="D160" s="76">
        <f aca="true" t="shared" si="63" ref="D160:AI160">D93/D$108</f>
        <v>0.03351726956877171</v>
      </c>
      <c r="E160" s="76">
        <f t="shared" si="63"/>
        <v>0.032920901458241274</v>
      </c>
      <c r="F160" s="76">
        <f t="shared" si="63"/>
        <v>0.025283347863993024</v>
      </c>
      <c r="G160" s="76">
        <f t="shared" si="63"/>
        <v>0.030020013342228154</v>
      </c>
      <c r="H160" s="76">
        <f t="shared" si="63"/>
        <v>0.0278955590270029</v>
      </c>
      <c r="I160" s="76">
        <f t="shared" si="63"/>
        <v>0.026627834408154773</v>
      </c>
      <c r="J160" s="76">
        <f t="shared" si="63"/>
        <v>0.02929483155471856</v>
      </c>
      <c r="K160" s="76">
        <f t="shared" si="63"/>
        <v>0.02602710260271026</v>
      </c>
      <c r="L160" s="76">
        <f t="shared" si="63"/>
        <v>0.028304093567251463</v>
      </c>
      <c r="M160" s="76">
        <f t="shared" si="63"/>
        <v>0.025887428907628948</v>
      </c>
      <c r="N160" s="76">
        <f t="shared" si="63"/>
        <v>0.02267054908485857</v>
      </c>
      <c r="O160" s="76">
        <f t="shared" si="63"/>
        <v>0.026897788404064555</v>
      </c>
      <c r="P160" s="76">
        <f t="shared" si="63"/>
        <v>0.023785527111469463</v>
      </c>
      <c r="Q160" s="76">
        <f t="shared" si="63"/>
        <v>0.02362035645265192</v>
      </c>
      <c r="R160" s="76">
        <f t="shared" si="63"/>
        <v>0.02502001601281025</v>
      </c>
      <c r="S160" s="76">
        <f t="shared" si="63"/>
        <v>0.027043638598647817</v>
      </c>
      <c r="T160" s="76">
        <f t="shared" si="63"/>
        <v>0.028195887216451134</v>
      </c>
      <c r="U160" s="76">
        <f t="shared" si="63"/>
        <v>0.023847695390781562</v>
      </c>
      <c r="V160" s="76">
        <f t="shared" si="63"/>
        <v>0.025877632898696087</v>
      </c>
      <c r="W160" s="76">
        <f t="shared" si="63"/>
        <v>0.02639058059277304</v>
      </c>
      <c r="X160" s="76">
        <f t="shared" si="63"/>
        <v>0.02406015037593985</v>
      </c>
      <c r="Y160" s="76">
        <f t="shared" si="63"/>
        <v>0.02484709480122324</v>
      </c>
      <c r="Z160" s="76">
        <f t="shared" si="63"/>
        <v>0.024109710241097104</v>
      </c>
      <c r="AA160" s="76">
        <f t="shared" si="63"/>
        <v>0.020973782771535582</v>
      </c>
      <c r="AB160" s="76">
        <f t="shared" si="63"/>
        <v>0.022590068159688413</v>
      </c>
      <c r="AC160" s="76">
        <f t="shared" si="63"/>
        <v>0.020492651624922375</v>
      </c>
      <c r="AD160" s="76">
        <f t="shared" si="63"/>
        <v>0.022525991528686947</v>
      </c>
      <c r="AE160" s="76">
        <f t="shared" si="63"/>
        <v>0.021531586431037985</v>
      </c>
      <c r="AF160" s="76">
        <f t="shared" si="63"/>
        <v>0.022173355323437786</v>
      </c>
      <c r="AG160" s="76">
        <f t="shared" si="63"/>
        <v>0.021360759493670885</v>
      </c>
      <c r="AH160" s="76">
        <f t="shared" si="63"/>
        <v>0.01830522418757713</v>
      </c>
      <c r="AI160" s="76">
        <f t="shared" si="63"/>
        <v>0.0200845665961945</v>
      </c>
    </row>
    <row r="161" spans="2:35" ht="12.75">
      <c r="B161" s="73" t="s">
        <v>107</v>
      </c>
      <c r="C161" s="76">
        <f t="shared" si="35"/>
        <v>0</v>
      </c>
      <c r="D161" s="76">
        <f aca="true" t="shared" si="64" ref="D161:AI161">D94/D$108</f>
        <v>0</v>
      </c>
      <c r="E161" s="76">
        <f t="shared" si="64"/>
        <v>0</v>
      </c>
      <c r="F161" s="76">
        <f t="shared" si="64"/>
        <v>0</v>
      </c>
      <c r="G161" s="76">
        <f t="shared" si="64"/>
        <v>0</v>
      </c>
      <c r="H161" s="76">
        <f t="shared" si="64"/>
        <v>0</v>
      </c>
      <c r="I161" s="76">
        <f t="shared" si="64"/>
        <v>0</v>
      </c>
      <c r="J161" s="76">
        <f t="shared" si="64"/>
        <v>0</v>
      </c>
      <c r="K161" s="76">
        <f t="shared" si="64"/>
        <v>0</v>
      </c>
      <c r="L161" s="76">
        <f t="shared" si="64"/>
        <v>0</v>
      </c>
      <c r="M161" s="76">
        <f t="shared" si="64"/>
        <v>0</v>
      </c>
      <c r="N161" s="76">
        <f t="shared" si="64"/>
        <v>0</v>
      </c>
      <c r="O161" s="76">
        <f t="shared" si="64"/>
        <v>0</v>
      </c>
      <c r="P161" s="76">
        <f t="shared" si="64"/>
        <v>0</v>
      </c>
      <c r="Q161" s="76">
        <f t="shared" si="64"/>
        <v>0</v>
      </c>
      <c r="R161" s="76">
        <f t="shared" si="64"/>
        <v>0</v>
      </c>
      <c r="S161" s="76">
        <f t="shared" si="64"/>
        <v>0</v>
      </c>
      <c r="T161" s="76">
        <f t="shared" si="64"/>
        <v>0</v>
      </c>
      <c r="U161" s="76">
        <f t="shared" si="64"/>
        <v>0</v>
      </c>
      <c r="V161" s="76">
        <f t="shared" si="64"/>
        <v>0</v>
      </c>
      <c r="W161" s="76">
        <f t="shared" si="64"/>
        <v>0</v>
      </c>
      <c r="X161" s="76">
        <f t="shared" si="64"/>
        <v>0</v>
      </c>
      <c r="Y161" s="76">
        <f t="shared" si="64"/>
        <v>0</v>
      </c>
      <c r="Z161" s="76">
        <f t="shared" si="64"/>
        <v>0</v>
      </c>
      <c r="AA161" s="76">
        <f t="shared" si="64"/>
        <v>0</v>
      </c>
      <c r="AB161" s="76">
        <f t="shared" si="64"/>
        <v>0</v>
      </c>
      <c r="AC161" s="76">
        <f t="shared" si="64"/>
        <v>0</v>
      </c>
      <c r="AD161" s="76">
        <f t="shared" si="64"/>
        <v>0</v>
      </c>
      <c r="AE161" s="76">
        <f t="shared" si="64"/>
        <v>0</v>
      </c>
      <c r="AF161" s="76">
        <f t="shared" si="64"/>
        <v>0</v>
      </c>
      <c r="AG161" s="76">
        <f t="shared" si="64"/>
        <v>0</v>
      </c>
      <c r="AH161" s="76">
        <f t="shared" si="64"/>
        <v>0</v>
      </c>
      <c r="AI161" s="76">
        <f t="shared" si="64"/>
        <v>0.0008809020436927414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PESTY</dc:creator>
  <cp:keywords/>
  <dc:description/>
  <cp:lastModifiedBy>François PESTY</cp:lastModifiedBy>
  <cp:lastPrinted>2007-02-24T15:40:36Z</cp:lastPrinted>
  <dcterms:created xsi:type="dcterms:W3CDTF">2006-06-24T15:38:30Z</dcterms:created>
  <dcterms:modified xsi:type="dcterms:W3CDTF">2011-04-03T19:46:18Z</dcterms:modified>
  <cp:category/>
  <cp:version/>
  <cp:contentType/>
  <cp:contentStatus/>
</cp:coreProperties>
</file>