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2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Req1" sheetId="11" r:id="rId11"/>
    <sheet name="Req2" sheetId="12" r:id="rId12"/>
    <sheet name="Req3" sheetId="13" r:id="rId13"/>
  </sheets>
  <definedNames/>
  <calcPr fullCalcOnLoad="1"/>
</workbook>
</file>

<file path=xl/sharedStrings.xml><?xml version="1.0" encoding="utf-8"?>
<sst xmlns="http://schemas.openxmlformats.org/spreadsheetml/2006/main" count="535" uniqueCount="116">
  <si>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</si>
  <si>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</si>
  <si>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</si>
  <si>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</si>
  <si>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</si>
  <si>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</si>
  <si>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</si>
  <si>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</si>
  <si>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</si>
  <si>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</si>
  <si>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</si>
  <si>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</si>
  <si>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</si>
  <si>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</si>
  <si>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</si>
  <si>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</si>
  <si>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</si>
  <si>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</si>
  <si>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</si>
  <si>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</si>
  <si>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</si>
  <si>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</si>
  <si>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</si>
  <si>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</si>
  <si>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</si>
  <si>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</si>
  <si>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</si>
  <si>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</si>
  <si>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</si>
  <si>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</si>
  <si>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</si>
  <si>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</si>
  <si>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</si>
  <si>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</si>
  <si>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</si>
  <si>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</si>
  <si>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</si>
  <si>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</si>
  <si>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</si>
  <si>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</si>
  <si>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</si>
  <si>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</si>
  <si>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</si>
  <si>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</si>
  <si>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</si>
  <si>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</si>
  <si>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</si>
  <si>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</si>
  <si>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</si>
  <si>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</si>
  <si>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</si>
  <si>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</si>
  <si>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</si>
  <si>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PRAVADUAL 40/81mg</t>
  </si>
  <si>
    <t>PRAVADUAL</t>
  </si>
  <si>
    <t>mai-4</t>
  </si>
  <si>
    <t>juin-4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</si>
  <si>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</si>
  <si>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</si>
  <si>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</si>
  <si>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</si>
  <si>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</si>
  <si>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</si>
  <si>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</si>
  <si>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</si>
  <si>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</si>
  <si>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fév-6</t>
  </si>
  <si>
    <t>déc04</t>
  </si>
  <si>
    <t>Statines "stricto sensu"</t>
  </si>
  <si>
    <t>juil-6</t>
  </si>
  <si>
    <t>août-6</t>
  </si>
  <si>
    <t>CPAM de l'Aude - Patients remboursés</t>
  </si>
  <si>
    <t>CPAM de l'Aude - Montants remboursés</t>
  </si>
  <si>
    <t>CPAM de l'Aude - Boites remboursées</t>
  </si>
  <si>
    <t>%</t>
  </si>
  <si>
    <t>Pravastatine 10mg</t>
  </si>
  <si>
    <t>sept-6</t>
  </si>
  <si>
    <t>oct-6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</si>
  <si>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</si>
  <si>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</si>
  <si>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</si>
  <si>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</si>
  <si>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</si>
  <si>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</si>
  <si>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</si>
  <si>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</si>
  <si>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</si>
  <si>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</si>
  <si>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</si>
  <si>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</si>
  <si>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</si>
  <si>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</si>
  <si>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</si>
  <si>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</si>
  <si>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</si>
  <si>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</si>
  <si>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</si>
  <si>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</si>
  <si>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</si>
  <si>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</si>
  <si>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</si>
  <si>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</si>
  <si>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</si>
  <si>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</si>
  <si>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</si>
  <si>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</si>
  <si>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nov-6</t>
  </si>
  <si>
    <t>déc-6</t>
  </si>
  <si>
    <t>CADUET® (=TAHOR® 10mg)</t>
  </si>
  <si>
    <t>CADUET</t>
  </si>
  <si>
    <t>jan-7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</si>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</sst>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2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  <font>
      <sz val="9.75"/>
      <name val="Arial"/>
      <family val="0"/>
    </font>
    <font>
      <sz val="13.75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sz val="10"/>
      <color indexed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9" fontId="1" fillId="0" borderId="0" xfId="21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3" applyNumberFormat="1" applyFont="1" applyFill="1" applyBorder="1" applyAlignment="1">
      <alignment horizontal="center" wrapText="1"/>
      <protection/>
    </xf>
    <xf numFmtId="0" fontId="1" fillId="12" borderId="9" xfId="21" applyFont="1" applyFill="1" applyBorder="1" applyAlignment="1">
      <alignment horizontal="center" wrapText="1"/>
      <protection/>
    </xf>
    <xf numFmtId="0" fontId="1" fillId="13" borderId="10" xfId="23" applyFont="1" applyFill="1" applyBorder="1" applyAlignment="1">
      <alignment wrapText="1"/>
      <protection/>
    </xf>
    <xf numFmtId="0" fontId="1" fillId="13" borderId="11" xfId="23" applyFont="1" applyFill="1" applyBorder="1" applyAlignment="1">
      <alignment wrapText="1"/>
      <protection/>
    </xf>
    <xf numFmtId="0" fontId="1" fillId="11" borderId="9" xfId="23" applyFont="1" applyFill="1" applyBorder="1" applyAlignment="1">
      <alignment horizontal="center"/>
      <protection/>
    </xf>
    <xf numFmtId="168" fontId="1" fillId="7" borderId="11" xfId="23" applyNumberFormat="1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3" fontId="1" fillId="0" borderId="0" xfId="23" applyNumberFormat="1" applyFont="1" applyFill="1" applyBorder="1" applyAlignment="1">
      <alignment horizontal="right" wrapText="1"/>
      <protection/>
    </xf>
    <xf numFmtId="17" fontId="1" fillId="11" borderId="9" xfId="23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1" applyFont="1" applyFill="1" applyBorder="1" applyAlignment="1">
      <alignment wrapText="1"/>
      <protection/>
    </xf>
    <xf numFmtId="170" fontId="1" fillId="0" borderId="11" xfId="21" applyNumberFormat="1" applyFont="1" applyFill="1" applyBorder="1" applyAlignment="1">
      <alignment horizontal="right" wrapText="1"/>
      <protection/>
    </xf>
    <xf numFmtId="0" fontId="1" fillId="11" borderId="2" xfId="21" applyFont="1" applyFill="1" applyBorder="1" applyAlignment="1">
      <alignment horizontal="center" wrapText="1"/>
      <protection/>
    </xf>
    <xf numFmtId="0" fontId="1" fillId="11" borderId="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horizontal="right"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170" fontId="1" fillId="0" borderId="0" xfId="21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2" applyFont="1" applyFill="1" applyBorder="1" applyAlignment="1">
      <alignment horizontal="right" wrapText="1"/>
      <protection/>
    </xf>
    <xf numFmtId="3" fontId="1" fillId="0" borderId="11" xfId="21" applyNumberFormat="1" applyFont="1" applyFill="1" applyBorder="1" applyAlignment="1">
      <alignment horizontal="right" wrapText="1"/>
      <protection/>
    </xf>
    <xf numFmtId="17" fontId="1" fillId="11" borderId="2" xfId="21" applyNumberFormat="1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horizontal="right" wrapText="1"/>
      <protection/>
    </xf>
    <xf numFmtId="10" fontId="4" fillId="6" borderId="4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1" xfId="21"/>
    <cellStyle name="Normal_Req2" xfId="22"/>
    <cellStyle name="Normal_Req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Req1!$C$108:$X$108</c:f>
              <c:numCache>
                <c:ptCount val="22"/>
                <c:pt idx="0">
                  <c:v>2767123.449</c:v>
                </c:pt>
                <c:pt idx="1">
                  <c:v>2841780.8755</c:v>
                </c:pt>
                <c:pt idx="2">
                  <c:v>2856040.7085000006</c:v>
                </c:pt>
                <c:pt idx="3">
                  <c:v>2880051.3705</c:v>
                </c:pt>
                <c:pt idx="4">
                  <c:v>2919160.8134999997</c:v>
                </c:pt>
                <c:pt idx="5">
                  <c:v>2952029.8145000003</c:v>
                </c:pt>
                <c:pt idx="6">
                  <c:v>2978185.4505000003</c:v>
                </c:pt>
                <c:pt idx="7">
                  <c:v>3006411.5065</c:v>
                </c:pt>
                <c:pt idx="8">
                  <c:v>3031431.0739999996</c:v>
                </c:pt>
                <c:pt idx="9">
                  <c:v>3054669.5785</c:v>
                </c:pt>
                <c:pt idx="10">
                  <c:v>3084233.043</c:v>
                </c:pt>
                <c:pt idx="11">
                  <c:v>3099673.359</c:v>
                </c:pt>
                <c:pt idx="12">
                  <c:v>3098867.58</c:v>
                </c:pt>
                <c:pt idx="13">
                  <c:v>3118587.349</c:v>
                </c:pt>
                <c:pt idx="14">
                  <c:v>3143607.1296999995</c:v>
                </c:pt>
                <c:pt idx="15">
                  <c:v>3156257.0562</c:v>
                </c:pt>
                <c:pt idx="16">
                  <c:v>3167138.6602000003</c:v>
                </c:pt>
                <c:pt idx="17">
                  <c:v>3161711.1554</c:v>
                </c:pt>
                <c:pt idx="18">
                  <c:v>3183991.1925999997</c:v>
                </c:pt>
                <c:pt idx="19">
                  <c:v>3181635.4482</c:v>
                </c:pt>
                <c:pt idx="20">
                  <c:v>3157710.2869999995</c:v>
                </c:pt>
                <c:pt idx="21">
                  <c:v>3179151.8565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1366596.6694999998</c:v>
                </c:pt>
                <c:pt idx="1">
                  <c:v>1396061.427</c:v>
                </c:pt>
                <c:pt idx="2">
                  <c:v>1393079.3560000001</c:v>
                </c:pt>
                <c:pt idx="3">
                  <c:v>1395253.9309999999</c:v>
                </c:pt>
                <c:pt idx="4">
                  <c:v>1403943.2534999999</c:v>
                </c:pt>
                <c:pt idx="5">
                  <c:v>1410505.3590000002</c:v>
                </c:pt>
                <c:pt idx="6">
                  <c:v>1413177.7635</c:v>
                </c:pt>
                <c:pt idx="7">
                  <c:v>1416496.1945</c:v>
                </c:pt>
                <c:pt idx="8">
                  <c:v>1417942.199</c:v>
                </c:pt>
                <c:pt idx="9">
                  <c:v>1417506.4594999999</c:v>
                </c:pt>
                <c:pt idx="10">
                  <c:v>1420900.799</c:v>
                </c:pt>
                <c:pt idx="11">
                  <c:v>1414409.338</c:v>
                </c:pt>
                <c:pt idx="12">
                  <c:v>1401034.2425000002</c:v>
                </c:pt>
                <c:pt idx="13">
                  <c:v>1395902.824</c:v>
                </c:pt>
                <c:pt idx="14">
                  <c:v>1397823.3175</c:v>
                </c:pt>
                <c:pt idx="15">
                  <c:v>1393478.8135</c:v>
                </c:pt>
                <c:pt idx="16">
                  <c:v>1381508.138</c:v>
                </c:pt>
                <c:pt idx="17">
                  <c:v>1362605.8572000002</c:v>
                </c:pt>
                <c:pt idx="18">
                  <c:v>1354129.4723</c:v>
                </c:pt>
                <c:pt idx="19">
                  <c:v>1335235.1227999998</c:v>
                </c:pt>
                <c:pt idx="20">
                  <c:v>1309118.1511</c:v>
                </c:pt>
                <c:pt idx="21">
                  <c:v>1300918.452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Req1!$C$110:$X$110</c:f>
              <c:numCache>
                <c:ptCount val="22"/>
                <c:pt idx="0">
                  <c:v>2471994.121</c:v>
                </c:pt>
                <c:pt idx="1">
                  <c:v>2533229.1395</c:v>
                </c:pt>
                <c:pt idx="2">
                  <c:v>2538880.5480000004</c:v>
                </c:pt>
                <c:pt idx="3">
                  <c:v>2553681.597</c:v>
                </c:pt>
                <c:pt idx="4">
                  <c:v>2580075.0524999998</c:v>
                </c:pt>
                <c:pt idx="5">
                  <c:v>2600493.262</c:v>
                </c:pt>
                <c:pt idx="6">
                  <c:v>2613563.657</c:v>
                </c:pt>
                <c:pt idx="7">
                  <c:v>2628200.2145000002</c:v>
                </c:pt>
                <c:pt idx="8">
                  <c:v>2639260.7794999997</c:v>
                </c:pt>
                <c:pt idx="9">
                  <c:v>2648423.7019999996</c:v>
                </c:pt>
                <c:pt idx="10">
                  <c:v>2663962.2215</c:v>
                </c:pt>
                <c:pt idx="11">
                  <c:v>2663449.2585</c:v>
                </c:pt>
                <c:pt idx="12">
                  <c:v>2651110.7365</c:v>
                </c:pt>
                <c:pt idx="13">
                  <c:v>2654478.268</c:v>
                </c:pt>
                <c:pt idx="14">
                  <c:v>2661466.6144999997</c:v>
                </c:pt>
                <c:pt idx="15">
                  <c:v>2659205.4203</c:v>
                </c:pt>
                <c:pt idx="16">
                  <c:v>2652580.0271</c:v>
                </c:pt>
                <c:pt idx="17">
                  <c:v>2632298.5878000003</c:v>
                </c:pt>
                <c:pt idx="18">
                  <c:v>2635373.466</c:v>
                </c:pt>
                <c:pt idx="19">
                  <c:v>2617193.2049</c:v>
                </c:pt>
                <c:pt idx="20">
                  <c:v>2579242.7629</c:v>
                </c:pt>
                <c:pt idx="21">
                  <c:v>2578011.1486000004</c:v>
                </c:pt>
              </c:numCache>
            </c:numRef>
          </c:val>
          <c:smooth val="0"/>
        </c:ser>
        <c:marker val="1"/>
        <c:axId val="34903597"/>
        <c:axId val="45696918"/>
      </c:lineChart>
      <c:dateAx>
        <c:axId val="3490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0"/>
        <c:noMultiLvlLbl val="0"/>
      </c:dateAx>
      <c:valAx>
        <c:axId val="456969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Req3!$B$66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Req3!$C$66:$AI$66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5</c:v>
                </c:pt>
                <c:pt idx="21">
                  <c:v>13</c:v>
                </c:pt>
                <c:pt idx="22">
                  <c:v>19</c:v>
                </c:pt>
                <c:pt idx="23">
                  <c:v>15</c:v>
                </c:pt>
                <c:pt idx="24">
                  <c:v>27</c:v>
                </c:pt>
                <c:pt idx="25">
                  <c:v>30</c:v>
                </c:pt>
                <c:pt idx="26">
                  <c:v>33</c:v>
                </c:pt>
                <c:pt idx="27">
                  <c:v>31</c:v>
                </c:pt>
                <c:pt idx="28">
                  <c:v>36</c:v>
                </c:pt>
                <c:pt idx="29">
                  <c:v>35</c:v>
                </c:pt>
                <c:pt idx="30">
                  <c:v>45</c:v>
                </c:pt>
                <c:pt idx="31">
                  <c:v>17</c:v>
                </c:pt>
                <c:pt idx="32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Req3!$B$67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Req3!$C$67:$AI$67</c:f>
              <c:numCache>
                <c:ptCount val="33"/>
                <c:pt idx="0">
                  <c:v>1203</c:v>
                </c:pt>
                <c:pt idx="1">
                  <c:v>1580</c:v>
                </c:pt>
                <c:pt idx="2">
                  <c:v>1388</c:v>
                </c:pt>
                <c:pt idx="3">
                  <c:v>1437</c:v>
                </c:pt>
                <c:pt idx="4">
                  <c:v>1385</c:v>
                </c:pt>
                <c:pt idx="5">
                  <c:v>1399</c:v>
                </c:pt>
                <c:pt idx="6">
                  <c:v>1444</c:v>
                </c:pt>
                <c:pt idx="7">
                  <c:v>1472</c:v>
                </c:pt>
                <c:pt idx="8">
                  <c:v>1401</c:v>
                </c:pt>
                <c:pt idx="9">
                  <c:v>1250</c:v>
                </c:pt>
                <c:pt idx="10">
                  <c:v>1523</c:v>
                </c:pt>
                <c:pt idx="11">
                  <c:v>1402</c:v>
                </c:pt>
                <c:pt idx="12">
                  <c:v>1491</c:v>
                </c:pt>
                <c:pt idx="13">
                  <c:v>1423</c:v>
                </c:pt>
                <c:pt idx="14">
                  <c:v>1391</c:v>
                </c:pt>
                <c:pt idx="15">
                  <c:v>1555</c:v>
                </c:pt>
                <c:pt idx="16">
                  <c:v>1576</c:v>
                </c:pt>
                <c:pt idx="17">
                  <c:v>1617</c:v>
                </c:pt>
                <c:pt idx="18">
                  <c:v>1627</c:v>
                </c:pt>
                <c:pt idx="19">
                  <c:v>1702</c:v>
                </c:pt>
                <c:pt idx="20">
                  <c:v>1667</c:v>
                </c:pt>
                <c:pt idx="21">
                  <c:v>1566</c:v>
                </c:pt>
                <c:pt idx="22">
                  <c:v>1777</c:v>
                </c:pt>
                <c:pt idx="23">
                  <c:v>1574</c:v>
                </c:pt>
                <c:pt idx="24">
                  <c:v>1780</c:v>
                </c:pt>
                <c:pt idx="25">
                  <c:v>1735</c:v>
                </c:pt>
                <c:pt idx="26">
                  <c:v>1666</c:v>
                </c:pt>
                <c:pt idx="27">
                  <c:v>1724</c:v>
                </c:pt>
                <c:pt idx="28">
                  <c:v>1709</c:v>
                </c:pt>
                <c:pt idx="29">
                  <c:v>1878</c:v>
                </c:pt>
                <c:pt idx="30">
                  <c:v>1769</c:v>
                </c:pt>
                <c:pt idx="31">
                  <c:v>1741</c:v>
                </c:pt>
                <c:pt idx="32">
                  <c:v>1992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Req3!$B$68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Req3!$C$68:$AI$68</c:f>
              <c:numCache>
                <c:ptCount val="33"/>
                <c:pt idx="0">
                  <c:v>192</c:v>
                </c:pt>
                <c:pt idx="1">
                  <c:v>253</c:v>
                </c:pt>
                <c:pt idx="2">
                  <c:v>213</c:v>
                </c:pt>
                <c:pt idx="3">
                  <c:v>221</c:v>
                </c:pt>
                <c:pt idx="4">
                  <c:v>228</c:v>
                </c:pt>
                <c:pt idx="5">
                  <c:v>207</c:v>
                </c:pt>
                <c:pt idx="6">
                  <c:v>239</c:v>
                </c:pt>
                <c:pt idx="7">
                  <c:v>261</c:v>
                </c:pt>
                <c:pt idx="8">
                  <c:v>251</c:v>
                </c:pt>
                <c:pt idx="9">
                  <c:v>239</c:v>
                </c:pt>
                <c:pt idx="10">
                  <c:v>264</c:v>
                </c:pt>
                <c:pt idx="11">
                  <c:v>256</c:v>
                </c:pt>
                <c:pt idx="12">
                  <c:v>274</c:v>
                </c:pt>
                <c:pt idx="13">
                  <c:v>285</c:v>
                </c:pt>
                <c:pt idx="14">
                  <c:v>267</c:v>
                </c:pt>
                <c:pt idx="15">
                  <c:v>294</c:v>
                </c:pt>
                <c:pt idx="16">
                  <c:v>288</c:v>
                </c:pt>
                <c:pt idx="17">
                  <c:v>296</c:v>
                </c:pt>
                <c:pt idx="18">
                  <c:v>321</c:v>
                </c:pt>
                <c:pt idx="19">
                  <c:v>346</c:v>
                </c:pt>
                <c:pt idx="20">
                  <c:v>321</c:v>
                </c:pt>
                <c:pt idx="21">
                  <c:v>301</c:v>
                </c:pt>
                <c:pt idx="22">
                  <c:v>332</c:v>
                </c:pt>
                <c:pt idx="23">
                  <c:v>294</c:v>
                </c:pt>
                <c:pt idx="24">
                  <c:v>350</c:v>
                </c:pt>
                <c:pt idx="25">
                  <c:v>332</c:v>
                </c:pt>
                <c:pt idx="26">
                  <c:v>302</c:v>
                </c:pt>
                <c:pt idx="27">
                  <c:v>328</c:v>
                </c:pt>
                <c:pt idx="28">
                  <c:v>299</c:v>
                </c:pt>
                <c:pt idx="29">
                  <c:v>349</c:v>
                </c:pt>
                <c:pt idx="30">
                  <c:v>323</c:v>
                </c:pt>
                <c:pt idx="31">
                  <c:v>302</c:v>
                </c:pt>
                <c:pt idx="32">
                  <c:v>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Req3!$B$69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Req3!$C$69:$AI$69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21</c:v>
                </c:pt>
                <c:pt idx="31">
                  <c:v>17</c:v>
                </c:pt>
                <c:pt idx="32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Req3!$B$70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Req3!$C$70:$AI$70</c:f>
              <c:numCache>
                <c:ptCount val="33"/>
                <c:pt idx="0">
                  <c:v>2204</c:v>
                </c:pt>
                <c:pt idx="1">
                  <c:v>2750</c:v>
                </c:pt>
                <c:pt idx="2">
                  <c:v>2489</c:v>
                </c:pt>
                <c:pt idx="3">
                  <c:v>2519</c:v>
                </c:pt>
                <c:pt idx="4">
                  <c:v>2563</c:v>
                </c:pt>
                <c:pt idx="5">
                  <c:v>2611</c:v>
                </c:pt>
                <c:pt idx="6">
                  <c:v>2657</c:v>
                </c:pt>
                <c:pt idx="7">
                  <c:v>2699</c:v>
                </c:pt>
                <c:pt idx="8">
                  <c:v>2711</c:v>
                </c:pt>
                <c:pt idx="9">
                  <c:v>2434</c:v>
                </c:pt>
                <c:pt idx="10">
                  <c:v>2959</c:v>
                </c:pt>
                <c:pt idx="11">
                  <c:v>2782</c:v>
                </c:pt>
                <c:pt idx="12">
                  <c:v>2867</c:v>
                </c:pt>
                <c:pt idx="13">
                  <c:v>2702</c:v>
                </c:pt>
                <c:pt idx="14">
                  <c:v>2577</c:v>
                </c:pt>
                <c:pt idx="15">
                  <c:v>2728</c:v>
                </c:pt>
                <c:pt idx="16">
                  <c:v>2720</c:v>
                </c:pt>
                <c:pt idx="17">
                  <c:v>2587</c:v>
                </c:pt>
                <c:pt idx="18">
                  <c:v>2694</c:v>
                </c:pt>
                <c:pt idx="19">
                  <c:v>2725</c:v>
                </c:pt>
                <c:pt idx="20">
                  <c:v>2630</c:v>
                </c:pt>
                <c:pt idx="21">
                  <c:v>2509</c:v>
                </c:pt>
                <c:pt idx="22">
                  <c:v>2715</c:v>
                </c:pt>
                <c:pt idx="23">
                  <c:v>2400</c:v>
                </c:pt>
                <c:pt idx="24">
                  <c:v>2659</c:v>
                </c:pt>
                <c:pt idx="25">
                  <c:v>2638</c:v>
                </c:pt>
                <c:pt idx="26">
                  <c:v>2401</c:v>
                </c:pt>
                <c:pt idx="27">
                  <c:v>2568</c:v>
                </c:pt>
                <c:pt idx="28">
                  <c:v>2466</c:v>
                </c:pt>
                <c:pt idx="29">
                  <c:v>2653</c:v>
                </c:pt>
                <c:pt idx="30">
                  <c:v>2525</c:v>
                </c:pt>
                <c:pt idx="31">
                  <c:v>2391</c:v>
                </c:pt>
                <c:pt idx="32">
                  <c:v>2716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Req3!$B$71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Req3!$C$71:$AI$71</c:f>
              <c:numCache>
                <c:ptCount val="33"/>
                <c:pt idx="0">
                  <c:v>788</c:v>
                </c:pt>
                <c:pt idx="1">
                  <c:v>968</c:v>
                </c:pt>
                <c:pt idx="2">
                  <c:v>892</c:v>
                </c:pt>
                <c:pt idx="3">
                  <c:v>918</c:v>
                </c:pt>
                <c:pt idx="4">
                  <c:v>939</c:v>
                </c:pt>
                <c:pt idx="5">
                  <c:v>925</c:v>
                </c:pt>
                <c:pt idx="6">
                  <c:v>967</c:v>
                </c:pt>
                <c:pt idx="7">
                  <c:v>1019</c:v>
                </c:pt>
                <c:pt idx="8">
                  <c:v>999</c:v>
                </c:pt>
                <c:pt idx="9">
                  <c:v>928</c:v>
                </c:pt>
                <c:pt idx="10">
                  <c:v>1103</c:v>
                </c:pt>
                <c:pt idx="11">
                  <c:v>1064</c:v>
                </c:pt>
                <c:pt idx="12">
                  <c:v>1099</c:v>
                </c:pt>
                <c:pt idx="13">
                  <c:v>1079</c:v>
                </c:pt>
                <c:pt idx="14">
                  <c:v>1000</c:v>
                </c:pt>
                <c:pt idx="15">
                  <c:v>1114</c:v>
                </c:pt>
                <c:pt idx="16">
                  <c:v>1089</c:v>
                </c:pt>
                <c:pt idx="17">
                  <c:v>1065</c:v>
                </c:pt>
                <c:pt idx="18">
                  <c:v>1082</c:v>
                </c:pt>
                <c:pt idx="19">
                  <c:v>1093</c:v>
                </c:pt>
                <c:pt idx="20">
                  <c:v>1083</c:v>
                </c:pt>
                <c:pt idx="21">
                  <c:v>997</c:v>
                </c:pt>
                <c:pt idx="22">
                  <c:v>1107</c:v>
                </c:pt>
                <c:pt idx="23">
                  <c:v>999</c:v>
                </c:pt>
                <c:pt idx="24">
                  <c:v>1081</c:v>
                </c:pt>
                <c:pt idx="25">
                  <c:v>1116</c:v>
                </c:pt>
                <c:pt idx="26">
                  <c:v>974</c:v>
                </c:pt>
                <c:pt idx="27">
                  <c:v>1102</c:v>
                </c:pt>
                <c:pt idx="28">
                  <c:v>1013</c:v>
                </c:pt>
                <c:pt idx="29">
                  <c:v>1084</c:v>
                </c:pt>
                <c:pt idx="30">
                  <c:v>1003</c:v>
                </c:pt>
                <c:pt idx="31">
                  <c:v>954</c:v>
                </c:pt>
                <c:pt idx="32">
                  <c:v>1140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Req3!$B$72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Req3!$C$72:$AI$72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35</c:v>
                </c:pt>
                <c:pt idx="29">
                  <c:v>63</c:v>
                </c:pt>
                <c:pt idx="30">
                  <c:v>85</c:v>
                </c:pt>
                <c:pt idx="31">
                  <c:v>101</c:v>
                </c:pt>
                <c:pt idx="32">
                  <c:v>120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Req3!$B$73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Req3!$C$73:$AI$73</c:f>
              <c:numCache>
                <c:ptCount val="33"/>
                <c:pt idx="0">
                  <c:v>129</c:v>
                </c:pt>
                <c:pt idx="1">
                  <c:v>163</c:v>
                </c:pt>
                <c:pt idx="2">
                  <c:v>148</c:v>
                </c:pt>
                <c:pt idx="3">
                  <c:v>149</c:v>
                </c:pt>
                <c:pt idx="4">
                  <c:v>145</c:v>
                </c:pt>
                <c:pt idx="5">
                  <c:v>141</c:v>
                </c:pt>
                <c:pt idx="6">
                  <c:v>150</c:v>
                </c:pt>
                <c:pt idx="7">
                  <c:v>155</c:v>
                </c:pt>
                <c:pt idx="8">
                  <c:v>136</c:v>
                </c:pt>
                <c:pt idx="9">
                  <c:v>141</c:v>
                </c:pt>
                <c:pt idx="10">
                  <c:v>164</c:v>
                </c:pt>
                <c:pt idx="11">
                  <c:v>137</c:v>
                </c:pt>
                <c:pt idx="12">
                  <c:v>152</c:v>
                </c:pt>
                <c:pt idx="13">
                  <c:v>150</c:v>
                </c:pt>
                <c:pt idx="14">
                  <c:v>138</c:v>
                </c:pt>
                <c:pt idx="15">
                  <c:v>136</c:v>
                </c:pt>
                <c:pt idx="16">
                  <c:v>144</c:v>
                </c:pt>
                <c:pt idx="17">
                  <c:v>141</c:v>
                </c:pt>
                <c:pt idx="18">
                  <c:v>155</c:v>
                </c:pt>
                <c:pt idx="19">
                  <c:v>169</c:v>
                </c:pt>
                <c:pt idx="20">
                  <c:v>170</c:v>
                </c:pt>
                <c:pt idx="21">
                  <c:v>147</c:v>
                </c:pt>
                <c:pt idx="22">
                  <c:v>171</c:v>
                </c:pt>
                <c:pt idx="23">
                  <c:v>145</c:v>
                </c:pt>
                <c:pt idx="24">
                  <c:v>169</c:v>
                </c:pt>
                <c:pt idx="25">
                  <c:v>159</c:v>
                </c:pt>
                <c:pt idx="26">
                  <c:v>157</c:v>
                </c:pt>
                <c:pt idx="27">
                  <c:v>155</c:v>
                </c:pt>
                <c:pt idx="28">
                  <c:v>143</c:v>
                </c:pt>
                <c:pt idx="29">
                  <c:v>152</c:v>
                </c:pt>
                <c:pt idx="30">
                  <c:v>138</c:v>
                </c:pt>
                <c:pt idx="31">
                  <c:v>126</c:v>
                </c:pt>
                <c:pt idx="32">
                  <c:v>159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Req3!$B$74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Req3!$C$74:$AI$74</c:f>
              <c:numCache>
                <c:ptCount val="33"/>
                <c:pt idx="0">
                  <c:v>288</c:v>
                </c:pt>
                <c:pt idx="1">
                  <c:v>340</c:v>
                </c:pt>
                <c:pt idx="2">
                  <c:v>295</c:v>
                </c:pt>
                <c:pt idx="3">
                  <c:v>303</c:v>
                </c:pt>
                <c:pt idx="4">
                  <c:v>315</c:v>
                </c:pt>
                <c:pt idx="5">
                  <c:v>317</c:v>
                </c:pt>
                <c:pt idx="6">
                  <c:v>343</c:v>
                </c:pt>
                <c:pt idx="7">
                  <c:v>383</c:v>
                </c:pt>
                <c:pt idx="8">
                  <c:v>355</c:v>
                </c:pt>
                <c:pt idx="9">
                  <c:v>332</c:v>
                </c:pt>
                <c:pt idx="10">
                  <c:v>405</c:v>
                </c:pt>
                <c:pt idx="11">
                  <c:v>368</c:v>
                </c:pt>
                <c:pt idx="12">
                  <c:v>429</c:v>
                </c:pt>
                <c:pt idx="13">
                  <c:v>372</c:v>
                </c:pt>
                <c:pt idx="14">
                  <c:v>343</c:v>
                </c:pt>
                <c:pt idx="15">
                  <c:v>402</c:v>
                </c:pt>
                <c:pt idx="16">
                  <c:v>363</c:v>
                </c:pt>
                <c:pt idx="17">
                  <c:v>356</c:v>
                </c:pt>
                <c:pt idx="18">
                  <c:v>358</c:v>
                </c:pt>
                <c:pt idx="19">
                  <c:v>333</c:v>
                </c:pt>
                <c:pt idx="20">
                  <c:v>336</c:v>
                </c:pt>
                <c:pt idx="21">
                  <c:v>348</c:v>
                </c:pt>
                <c:pt idx="22">
                  <c:v>336</c:v>
                </c:pt>
                <c:pt idx="23">
                  <c:v>309</c:v>
                </c:pt>
                <c:pt idx="24">
                  <c:v>352</c:v>
                </c:pt>
                <c:pt idx="25">
                  <c:v>320</c:v>
                </c:pt>
                <c:pt idx="26">
                  <c:v>295</c:v>
                </c:pt>
                <c:pt idx="27">
                  <c:v>322</c:v>
                </c:pt>
                <c:pt idx="28">
                  <c:v>310</c:v>
                </c:pt>
                <c:pt idx="29">
                  <c:v>323</c:v>
                </c:pt>
                <c:pt idx="30">
                  <c:v>298</c:v>
                </c:pt>
                <c:pt idx="31">
                  <c:v>285</c:v>
                </c:pt>
                <c:pt idx="32">
                  <c:v>311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Req3!$B$75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Req3!$C$75:$AI$75</c:f>
              <c:numCache>
                <c:ptCount val="33"/>
                <c:pt idx="0">
                  <c:v>247</c:v>
                </c:pt>
                <c:pt idx="1">
                  <c:v>317</c:v>
                </c:pt>
                <c:pt idx="2">
                  <c:v>271</c:v>
                </c:pt>
                <c:pt idx="3">
                  <c:v>291</c:v>
                </c:pt>
                <c:pt idx="4">
                  <c:v>302</c:v>
                </c:pt>
                <c:pt idx="5">
                  <c:v>302</c:v>
                </c:pt>
                <c:pt idx="6">
                  <c:v>313</c:v>
                </c:pt>
                <c:pt idx="7">
                  <c:v>320</c:v>
                </c:pt>
                <c:pt idx="8">
                  <c:v>304</c:v>
                </c:pt>
                <c:pt idx="9">
                  <c:v>276</c:v>
                </c:pt>
                <c:pt idx="10">
                  <c:v>358</c:v>
                </c:pt>
                <c:pt idx="11">
                  <c:v>307</c:v>
                </c:pt>
                <c:pt idx="12">
                  <c:v>353</c:v>
                </c:pt>
                <c:pt idx="13">
                  <c:v>329</c:v>
                </c:pt>
                <c:pt idx="14">
                  <c:v>306</c:v>
                </c:pt>
                <c:pt idx="15">
                  <c:v>320</c:v>
                </c:pt>
                <c:pt idx="16">
                  <c:v>307</c:v>
                </c:pt>
                <c:pt idx="17">
                  <c:v>315</c:v>
                </c:pt>
                <c:pt idx="18">
                  <c:v>322</c:v>
                </c:pt>
                <c:pt idx="19">
                  <c:v>320</c:v>
                </c:pt>
                <c:pt idx="20">
                  <c:v>321</c:v>
                </c:pt>
                <c:pt idx="21">
                  <c:v>302</c:v>
                </c:pt>
                <c:pt idx="22">
                  <c:v>323</c:v>
                </c:pt>
                <c:pt idx="23">
                  <c:v>288</c:v>
                </c:pt>
                <c:pt idx="24">
                  <c:v>314</c:v>
                </c:pt>
                <c:pt idx="25">
                  <c:v>320</c:v>
                </c:pt>
                <c:pt idx="26">
                  <c:v>286</c:v>
                </c:pt>
                <c:pt idx="27">
                  <c:v>300</c:v>
                </c:pt>
                <c:pt idx="28">
                  <c:v>262</c:v>
                </c:pt>
                <c:pt idx="29">
                  <c:v>302</c:v>
                </c:pt>
                <c:pt idx="30">
                  <c:v>273</c:v>
                </c:pt>
                <c:pt idx="31">
                  <c:v>275</c:v>
                </c:pt>
                <c:pt idx="32">
                  <c:v>286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Req3!$B$76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Req3!$C$76:$AI$76</c:f>
              <c:numCache>
                <c:ptCount val="33"/>
                <c:pt idx="0">
                  <c:v>1229</c:v>
                </c:pt>
                <c:pt idx="1">
                  <c:v>1514</c:v>
                </c:pt>
                <c:pt idx="2">
                  <c:v>1394</c:v>
                </c:pt>
                <c:pt idx="3">
                  <c:v>1355</c:v>
                </c:pt>
                <c:pt idx="4">
                  <c:v>1391</c:v>
                </c:pt>
                <c:pt idx="5">
                  <c:v>1395</c:v>
                </c:pt>
                <c:pt idx="6">
                  <c:v>1500</c:v>
                </c:pt>
                <c:pt idx="7">
                  <c:v>1518</c:v>
                </c:pt>
                <c:pt idx="8">
                  <c:v>1501</c:v>
                </c:pt>
                <c:pt idx="9">
                  <c:v>1414</c:v>
                </c:pt>
                <c:pt idx="10">
                  <c:v>1717</c:v>
                </c:pt>
                <c:pt idx="11">
                  <c:v>1558</c:v>
                </c:pt>
                <c:pt idx="12">
                  <c:v>1706</c:v>
                </c:pt>
                <c:pt idx="13">
                  <c:v>1620</c:v>
                </c:pt>
                <c:pt idx="14">
                  <c:v>1527</c:v>
                </c:pt>
                <c:pt idx="15">
                  <c:v>1608</c:v>
                </c:pt>
                <c:pt idx="16">
                  <c:v>1672</c:v>
                </c:pt>
                <c:pt idx="17">
                  <c:v>1571</c:v>
                </c:pt>
                <c:pt idx="18">
                  <c:v>1649</c:v>
                </c:pt>
                <c:pt idx="19">
                  <c:v>1678</c:v>
                </c:pt>
                <c:pt idx="20">
                  <c:v>1569</c:v>
                </c:pt>
                <c:pt idx="21">
                  <c:v>1528</c:v>
                </c:pt>
                <c:pt idx="22">
                  <c:v>1672</c:v>
                </c:pt>
                <c:pt idx="23">
                  <c:v>1422</c:v>
                </c:pt>
                <c:pt idx="24">
                  <c:v>1670</c:v>
                </c:pt>
                <c:pt idx="25">
                  <c:v>1628</c:v>
                </c:pt>
                <c:pt idx="26">
                  <c:v>1531</c:v>
                </c:pt>
                <c:pt idx="27">
                  <c:v>1642</c:v>
                </c:pt>
                <c:pt idx="28">
                  <c:v>1507</c:v>
                </c:pt>
                <c:pt idx="29">
                  <c:v>1633</c:v>
                </c:pt>
                <c:pt idx="30">
                  <c:v>1538</c:v>
                </c:pt>
                <c:pt idx="31">
                  <c:v>1492</c:v>
                </c:pt>
                <c:pt idx="32">
                  <c:v>1659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Req3!$B$77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Req3!$C$77:$AI$77</c:f>
              <c:numCache>
                <c:ptCount val="33"/>
                <c:pt idx="0">
                  <c:v>466</c:v>
                </c:pt>
                <c:pt idx="1">
                  <c:v>571</c:v>
                </c:pt>
                <c:pt idx="2">
                  <c:v>503</c:v>
                </c:pt>
                <c:pt idx="3">
                  <c:v>539</c:v>
                </c:pt>
                <c:pt idx="4">
                  <c:v>569</c:v>
                </c:pt>
                <c:pt idx="5">
                  <c:v>567</c:v>
                </c:pt>
                <c:pt idx="6">
                  <c:v>582</c:v>
                </c:pt>
                <c:pt idx="7">
                  <c:v>636</c:v>
                </c:pt>
                <c:pt idx="8">
                  <c:v>579</c:v>
                </c:pt>
                <c:pt idx="9">
                  <c:v>533</c:v>
                </c:pt>
                <c:pt idx="10">
                  <c:v>644</c:v>
                </c:pt>
                <c:pt idx="11">
                  <c:v>602</c:v>
                </c:pt>
                <c:pt idx="12">
                  <c:v>640</c:v>
                </c:pt>
                <c:pt idx="13">
                  <c:v>637</c:v>
                </c:pt>
                <c:pt idx="14">
                  <c:v>600</c:v>
                </c:pt>
                <c:pt idx="15">
                  <c:v>639</c:v>
                </c:pt>
                <c:pt idx="16">
                  <c:v>590</c:v>
                </c:pt>
                <c:pt idx="17">
                  <c:v>589</c:v>
                </c:pt>
                <c:pt idx="18">
                  <c:v>590</c:v>
                </c:pt>
                <c:pt idx="19">
                  <c:v>633</c:v>
                </c:pt>
                <c:pt idx="20">
                  <c:v>576</c:v>
                </c:pt>
                <c:pt idx="21">
                  <c:v>577</c:v>
                </c:pt>
                <c:pt idx="22">
                  <c:v>637</c:v>
                </c:pt>
                <c:pt idx="23">
                  <c:v>550</c:v>
                </c:pt>
                <c:pt idx="24">
                  <c:v>632</c:v>
                </c:pt>
                <c:pt idx="25">
                  <c:v>622</c:v>
                </c:pt>
                <c:pt idx="26">
                  <c:v>550</c:v>
                </c:pt>
                <c:pt idx="27">
                  <c:v>621</c:v>
                </c:pt>
                <c:pt idx="28">
                  <c:v>568</c:v>
                </c:pt>
                <c:pt idx="29">
                  <c:v>607</c:v>
                </c:pt>
                <c:pt idx="30">
                  <c:v>596</c:v>
                </c:pt>
                <c:pt idx="31">
                  <c:v>556</c:v>
                </c:pt>
                <c:pt idx="32">
                  <c:v>632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Req3!$B$78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Req3!$C$78:$AI$78</c:f>
              <c:numCache>
                <c:ptCount val="33"/>
                <c:pt idx="0">
                  <c:v>419</c:v>
                </c:pt>
                <c:pt idx="1">
                  <c:v>525</c:v>
                </c:pt>
                <c:pt idx="2">
                  <c:v>462</c:v>
                </c:pt>
                <c:pt idx="3">
                  <c:v>457</c:v>
                </c:pt>
                <c:pt idx="4">
                  <c:v>464</c:v>
                </c:pt>
                <c:pt idx="5">
                  <c:v>466</c:v>
                </c:pt>
                <c:pt idx="6">
                  <c:v>488</c:v>
                </c:pt>
                <c:pt idx="7">
                  <c:v>482</c:v>
                </c:pt>
                <c:pt idx="8">
                  <c:v>474</c:v>
                </c:pt>
                <c:pt idx="9">
                  <c:v>439</c:v>
                </c:pt>
                <c:pt idx="10">
                  <c:v>517</c:v>
                </c:pt>
                <c:pt idx="11">
                  <c:v>466</c:v>
                </c:pt>
                <c:pt idx="12">
                  <c:v>481</c:v>
                </c:pt>
                <c:pt idx="13">
                  <c:v>483</c:v>
                </c:pt>
                <c:pt idx="14">
                  <c:v>457</c:v>
                </c:pt>
                <c:pt idx="15">
                  <c:v>506</c:v>
                </c:pt>
                <c:pt idx="16">
                  <c:v>499</c:v>
                </c:pt>
                <c:pt idx="17">
                  <c:v>464</c:v>
                </c:pt>
                <c:pt idx="18">
                  <c:v>513</c:v>
                </c:pt>
                <c:pt idx="19">
                  <c:v>505</c:v>
                </c:pt>
                <c:pt idx="20">
                  <c:v>486</c:v>
                </c:pt>
                <c:pt idx="21">
                  <c:v>459</c:v>
                </c:pt>
                <c:pt idx="22">
                  <c:v>518</c:v>
                </c:pt>
                <c:pt idx="23">
                  <c:v>440</c:v>
                </c:pt>
                <c:pt idx="24">
                  <c:v>517</c:v>
                </c:pt>
                <c:pt idx="25">
                  <c:v>512</c:v>
                </c:pt>
                <c:pt idx="26">
                  <c:v>471</c:v>
                </c:pt>
                <c:pt idx="27">
                  <c:v>504</c:v>
                </c:pt>
                <c:pt idx="28">
                  <c:v>488</c:v>
                </c:pt>
                <c:pt idx="29">
                  <c:v>527</c:v>
                </c:pt>
                <c:pt idx="30">
                  <c:v>481</c:v>
                </c:pt>
                <c:pt idx="31">
                  <c:v>445</c:v>
                </c:pt>
                <c:pt idx="32">
                  <c:v>530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Req3!$B$79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Req3!$C$79:$AI$79</c:f>
              <c:numCache>
                <c:ptCount val="33"/>
                <c:pt idx="0">
                  <c:v>21</c:v>
                </c:pt>
                <c:pt idx="1">
                  <c:v>31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29</c:v>
                </c:pt>
                <c:pt idx="6">
                  <c:v>37</c:v>
                </c:pt>
                <c:pt idx="7">
                  <c:v>42</c:v>
                </c:pt>
                <c:pt idx="8">
                  <c:v>45</c:v>
                </c:pt>
                <c:pt idx="9">
                  <c:v>44</c:v>
                </c:pt>
                <c:pt idx="10">
                  <c:v>41</c:v>
                </c:pt>
                <c:pt idx="11">
                  <c:v>51</c:v>
                </c:pt>
                <c:pt idx="12">
                  <c:v>41</c:v>
                </c:pt>
                <c:pt idx="13">
                  <c:v>46</c:v>
                </c:pt>
                <c:pt idx="14">
                  <c:v>43</c:v>
                </c:pt>
                <c:pt idx="15">
                  <c:v>38</c:v>
                </c:pt>
                <c:pt idx="16">
                  <c:v>47</c:v>
                </c:pt>
                <c:pt idx="17">
                  <c:v>39</c:v>
                </c:pt>
                <c:pt idx="18">
                  <c:v>33</c:v>
                </c:pt>
                <c:pt idx="19">
                  <c:v>37</c:v>
                </c:pt>
                <c:pt idx="20">
                  <c:v>42</c:v>
                </c:pt>
                <c:pt idx="21">
                  <c:v>38</c:v>
                </c:pt>
                <c:pt idx="22">
                  <c:v>42</c:v>
                </c:pt>
                <c:pt idx="23">
                  <c:v>36</c:v>
                </c:pt>
                <c:pt idx="24">
                  <c:v>40</c:v>
                </c:pt>
                <c:pt idx="25">
                  <c:v>38</c:v>
                </c:pt>
                <c:pt idx="26">
                  <c:v>41</c:v>
                </c:pt>
                <c:pt idx="27">
                  <c:v>52</c:v>
                </c:pt>
                <c:pt idx="28">
                  <c:v>52</c:v>
                </c:pt>
                <c:pt idx="29">
                  <c:v>46</c:v>
                </c:pt>
                <c:pt idx="30">
                  <c:v>55</c:v>
                </c:pt>
                <c:pt idx="31">
                  <c:v>58</c:v>
                </c:pt>
                <c:pt idx="32">
                  <c:v>76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Req3!$B$80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Req3!$C$80:$AI$80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74</c:v>
                </c:pt>
                <c:pt idx="22">
                  <c:v>192</c:v>
                </c:pt>
                <c:pt idx="23">
                  <c:v>251</c:v>
                </c:pt>
                <c:pt idx="24">
                  <c:v>355</c:v>
                </c:pt>
                <c:pt idx="25">
                  <c:v>437</c:v>
                </c:pt>
                <c:pt idx="26">
                  <c:v>455</c:v>
                </c:pt>
                <c:pt idx="27">
                  <c:v>522</c:v>
                </c:pt>
                <c:pt idx="28">
                  <c:v>527</c:v>
                </c:pt>
                <c:pt idx="29">
                  <c:v>614</c:v>
                </c:pt>
                <c:pt idx="30">
                  <c:v>630</c:v>
                </c:pt>
                <c:pt idx="31">
                  <c:v>613</c:v>
                </c:pt>
                <c:pt idx="32">
                  <c:v>786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Req3!$B$81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Req3!$C$81:$AI$81</c:f>
              <c:numCache>
                <c:ptCount val="33"/>
                <c:pt idx="0">
                  <c:v>199</c:v>
                </c:pt>
                <c:pt idx="1">
                  <c:v>330</c:v>
                </c:pt>
                <c:pt idx="2">
                  <c:v>350</c:v>
                </c:pt>
                <c:pt idx="3">
                  <c:v>369</c:v>
                </c:pt>
                <c:pt idx="4">
                  <c:v>384</c:v>
                </c:pt>
                <c:pt idx="5">
                  <c:v>348</c:v>
                </c:pt>
                <c:pt idx="6">
                  <c:v>329</c:v>
                </c:pt>
                <c:pt idx="7">
                  <c:v>351</c:v>
                </c:pt>
                <c:pt idx="8">
                  <c:v>330</c:v>
                </c:pt>
                <c:pt idx="9">
                  <c:v>352</c:v>
                </c:pt>
                <c:pt idx="10">
                  <c:v>410</c:v>
                </c:pt>
                <c:pt idx="11">
                  <c:v>404</c:v>
                </c:pt>
                <c:pt idx="12">
                  <c:v>445</c:v>
                </c:pt>
                <c:pt idx="13">
                  <c:v>475</c:v>
                </c:pt>
                <c:pt idx="14">
                  <c:v>450</c:v>
                </c:pt>
                <c:pt idx="15">
                  <c:v>484</c:v>
                </c:pt>
                <c:pt idx="16">
                  <c:v>505</c:v>
                </c:pt>
                <c:pt idx="17">
                  <c:v>463</c:v>
                </c:pt>
                <c:pt idx="18">
                  <c:v>516</c:v>
                </c:pt>
                <c:pt idx="19">
                  <c:v>548</c:v>
                </c:pt>
                <c:pt idx="20">
                  <c:v>538</c:v>
                </c:pt>
                <c:pt idx="21">
                  <c:v>521</c:v>
                </c:pt>
                <c:pt idx="22">
                  <c:v>608</c:v>
                </c:pt>
                <c:pt idx="23">
                  <c:v>508</c:v>
                </c:pt>
                <c:pt idx="24">
                  <c:v>596</c:v>
                </c:pt>
                <c:pt idx="25">
                  <c:v>649</c:v>
                </c:pt>
                <c:pt idx="26">
                  <c:v>586</c:v>
                </c:pt>
                <c:pt idx="27">
                  <c:v>674</c:v>
                </c:pt>
                <c:pt idx="28">
                  <c:v>603</c:v>
                </c:pt>
                <c:pt idx="29">
                  <c:v>687</c:v>
                </c:pt>
                <c:pt idx="30">
                  <c:v>638</c:v>
                </c:pt>
                <c:pt idx="31">
                  <c:v>619</c:v>
                </c:pt>
                <c:pt idx="32">
                  <c:v>713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Req3!$B$82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Req3!$C$82:$AI$82</c:f>
              <c:numCache>
                <c:ptCount val="33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25</c:v>
                </c:pt>
                <c:pt idx="4">
                  <c:v>27</c:v>
                </c:pt>
                <c:pt idx="5">
                  <c:v>26</c:v>
                </c:pt>
                <c:pt idx="6">
                  <c:v>24</c:v>
                </c:pt>
                <c:pt idx="7">
                  <c:v>31</c:v>
                </c:pt>
                <c:pt idx="8">
                  <c:v>32</c:v>
                </c:pt>
                <c:pt idx="9">
                  <c:v>30</c:v>
                </c:pt>
                <c:pt idx="10">
                  <c:v>38</c:v>
                </c:pt>
                <c:pt idx="11">
                  <c:v>35</c:v>
                </c:pt>
                <c:pt idx="12">
                  <c:v>42</c:v>
                </c:pt>
                <c:pt idx="13">
                  <c:v>45</c:v>
                </c:pt>
                <c:pt idx="14">
                  <c:v>51</c:v>
                </c:pt>
                <c:pt idx="15">
                  <c:v>46</c:v>
                </c:pt>
                <c:pt idx="16">
                  <c:v>41</c:v>
                </c:pt>
                <c:pt idx="17">
                  <c:v>49</c:v>
                </c:pt>
                <c:pt idx="18">
                  <c:v>49</c:v>
                </c:pt>
                <c:pt idx="19">
                  <c:v>54</c:v>
                </c:pt>
                <c:pt idx="20">
                  <c:v>54</c:v>
                </c:pt>
                <c:pt idx="21">
                  <c:v>58</c:v>
                </c:pt>
                <c:pt idx="22">
                  <c:v>49</c:v>
                </c:pt>
                <c:pt idx="23">
                  <c:v>52</c:v>
                </c:pt>
                <c:pt idx="24">
                  <c:v>56</c:v>
                </c:pt>
                <c:pt idx="25">
                  <c:v>66</c:v>
                </c:pt>
                <c:pt idx="26">
                  <c:v>53</c:v>
                </c:pt>
                <c:pt idx="27">
                  <c:v>68</c:v>
                </c:pt>
                <c:pt idx="28">
                  <c:v>63</c:v>
                </c:pt>
                <c:pt idx="29">
                  <c:v>68</c:v>
                </c:pt>
                <c:pt idx="30">
                  <c:v>69</c:v>
                </c:pt>
                <c:pt idx="31">
                  <c:v>75</c:v>
                </c:pt>
                <c:pt idx="32">
                  <c:v>78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Req3!$B$83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Req3!$C$83:$AI$83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64</c:v>
                </c:pt>
                <c:pt idx="10">
                  <c:v>148</c:v>
                </c:pt>
                <c:pt idx="11">
                  <c:v>174</c:v>
                </c:pt>
                <c:pt idx="12">
                  <c:v>244</c:v>
                </c:pt>
                <c:pt idx="13">
                  <c:v>246</c:v>
                </c:pt>
                <c:pt idx="14">
                  <c:v>260</c:v>
                </c:pt>
                <c:pt idx="15">
                  <c:v>278</c:v>
                </c:pt>
                <c:pt idx="16">
                  <c:v>298</c:v>
                </c:pt>
                <c:pt idx="17">
                  <c:v>322</c:v>
                </c:pt>
                <c:pt idx="18">
                  <c:v>342</c:v>
                </c:pt>
                <c:pt idx="19">
                  <c:v>363</c:v>
                </c:pt>
                <c:pt idx="20">
                  <c:v>378</c:v>
                </c:pt>
                <c:pt idx="21">
                  <c:v>372</c:v>
                </c:pt>
                <c:pt idx="22">
                  <c:v>429</c:v>
                </c:pt>
                <c:pt idx="23">
                  <c:v>396</c:v>
                </c:pt>
                <c:pt idx="24">
                  <c:v>442</c:v>
                </c:pt>
                <c:pt idx="25">
                  <c:v>466</c:v>
                </c:pt>
                <c:pt idx="26">
                  <c:v>428</c:v>
                </c:pt>
                <c:pt idx="27">
                  <c:v>470</c:v>
                </c:pt>
                <c:pt idx="28">
                  <c:v>424</c:v>
                </c:pt>
                <c:pt idx="29">
                  <c:v>464</c:v>
                </c:pt>
                <c:pt idx="30">
                  <c:v>440</c:v>
                </c:pt>
                <c:pt idx="31">
                  <c:v>417</c:v>
                </c:pt>
                <c:pt idx="32">
                  <c:v>483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Req3!$B$84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Req3!$C$84:$AI$84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31</c:v>
                </c:pt>
                <c:pt idx="22">
                  <c:v>74</c:v>
                </c:pt>
                <c:pt idx="23">
                  <c:v>84</c:v>
                </c:pt>
                <c:pt idx="24">
                  <c:v>155</c:v>
                </c:pt>
                <c:pt idx="25">
                  <c:v>158</c:v>
                </c:pt>
                <c:pt idx="26">
                  <c:v>154</c:v>
                </c:pt>
                <c:pt idx="27">
                  <c:v>182</c:v>
                </c:pt>
                <c:pt idx="28">
                  <c:v>199</c:v>
                </c:pt>
                <c:pt idx="29">
                  <c:v>202</c:v>
                </c:pt>
                <c:pt idx="30">
                  <c:v>192</c:v>
                </c:pt>
                <c:pt idx="31">
                  <c:v>209</c:v>
                </c:pt>
                <c:pt idx="32">
                  <c:v>253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Req3!$B$85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Req3!$C$85:$AI$85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32</c:v>
                </c:pt>
                <c:pt idx="23">
                  <c:v>30</c:v>
                </c:pt>
                <c:pt idx="24">
                  <c:v>57</c:v>
                </c:pt>
                <c:pt idx="25">
                  <c:v>60</c:v>
                </c:pt>
                <c:pt idx="26">
                  <c:v>60</c:v>
                </c:pt>
                <c:pt idx="27">
                  <c:v>71</c:v>
                </c:pt>
                <c:pt idx="28">
                  <c:v>66</c:v>
                </c:pt>
                <c:pt idx="29">
                  <c:v>74</c:v>
                </c:pt>
                <c:pt idx="30">
                  <c:v>91</c:v>
                </c:pt>
                <c:pt idx="31">
                  <c:v>95</c:v>
                </c:pt>
                <c:pt idx="32">
                  <c:v>101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Req3!$B$86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Req3!$C$86:$AI$86</c:f>
              <c:numCache>
                <c:ptCount val="33"/>
                <c:pt idx="0">
                  <c:v>39</c:v>
                </c:pt>
                <c:pt idx="1">
                  <c:v>29</c:v>
                </c:pt>
                <c:pt idx="2">
                  <c:v>35</c:v>
                </c:pt>
                <c:pt idx="3">
                  <c:v>31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26</c:v>
                </c:pt>
                <c:pt idx="10">
                  <c:v>36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31</c:v>
                </c:pt>
                <c:pt idx="15">
                  <c:v>35</c:v>
                </c:pt>
                <c:pt idx="16">
                  <c:v>26</c:v>
                </c:pt>
                <c:pt idx="17">
                  <c:v>37</c:v>
                </c:pt>
                <c:pt idx="18">
                  <c:v>31</c:v>
                </c:pt>
                <c:pt idx="19">
                  <c:v>34</c:v>
                </c:pt>
                <c:pt idx="20">
                  <c:v>37</c:v>
                </c:pt>
                <c:pt idx="21">
                  <c:v>26</c:v>
                </c:pt>
                <c:pt idx="22">
                  <c:v>36</c:v>
                </c:pt>
                <c:pt idx="23">
                  <c:v>30</c:v>
                </c:pt>
                <c:pt idx="24">
                  <c:v>29</c:v>
                </c:pt>
                <c:pt idx="25">
                  <c:v>38</c:v>
                </c:pt>
                <c:pt idx="26">
                  <c:v>28</c:v>
                </c:pt>
                <c:pt idx="27">
                  <c:v>35</c:v>
                </c:pt>
                <c:pt idx="28">
                  <c:v>30</c:v>
                </c:pt>
                <c:pt idx="29">
                  <c:v>36</c:v>
                </c:pt>
                <c:pt idx="30">
                  <c:v>37</c:v>
                </c:pt>
                <c:pt idx="31">
                  <c:v>33</c:v>
                </c:pt>
                <c:pt idx="32">
                  <c:v>40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Req3!$B$87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Req3!$C$87:$AI$87</c:f>
              <c:numCache>
                <c:ptCount val="33"/>
                <c:pt idx="0">
                  <c:v>165</c:v>
                </c:pt>
                <c:pt idx="1">
                  <c:v>220</c:v>
                </c:pt>
                <c:pt idx="2">
                  <c:v>225</c:v>
                </c:pt>
                <c:pt idx="3">
                  <c:v>188</c:v>
                </c:pt>
                <c:pt idx="4">
                  <c:v>205</c:v>
                </c:pt>
                <c:pt idx="5">
                  <c:v>164</c:v>
                </c:pt>
                <c:pt idx="6">
                  <c:v>211</c:v>
                </c:pt>
                <c:pt idx="7">
                  <c:v>209</c:v>
                </c:pt>
                <c:pt idx="8">
                  <c:v>198</c:v>
                </c:pt>
                <c:pt idx="9">
                  <c:v>196</c:v>
                </c:pt>
                <c:pt idx="10">
                  <c:v>211</c:v>
                </c:pt>
                <c:pt idx="11">
                  <c:v>186</c:v>
                </c:pt>
                <c:pt idx="12">
                  <c:v>203</c:v>
                </c:pt>
                <c:pt idx="13">
                  <c:v>187</c:v>
                </c:pt>
                <c:pt idx="14">
                  <c:v>187</c:v>
                </c:pt>
                <c:pt idx="15">
                  <c:v>198</c:v>
                </c:pt>
                <c:pt idx="16">
                  <c:v>192</c:v>
                </c:pt>
                <c:pt idx="17">
                  <c:v>196</c:v>
                </c:pt>
                <c:pt idx="18">
                  <c:v>214</c:v>
                </c:pt>
                <c:pt idx="19">
                  <c:v>203</c:v>
                </c:pt>
                <c:pt idx="20">
                  <c:v>204</c:v>
                </c:pt>
                <c:pt idx="21">
                  <c:v>182</c:v>
                </c:pt>
                <c:pt idx="22">
                  <c:v>211</c:v>
                </c:pt>
                <c:pt idx="23">
                  <c:v>163</c:v>
                </c:pt>
                <c:pt idx="24">
                  <c:v>191</c:v>
                </c:pt>
                <c:pt idx="25">
                  <c:v>185</c:v>
                </c:pt>
                <c:pt idx="26">
                  <c:v>180</c:v>
                </c:pt>
                <c:pt idx="27">
                  <c:v>181</c:v>
                </c:pt>
                <c:pt idx="28">
                  <c:v>172</c:v>
                </c:pt>
                <c:pt idx="29">
                  <c:v>187</c:v>
                </c:pt>
                <c:pt idx="30">
                  <c:v>171</c:v>
                </c:pt>
                <c:pt idx="31">
                  <c:v>150</c:v>
                </c:pt>
                <c:pt idx="32">
                  <c:v>183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Req3!$B$88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Req3!$C$88:$AI$88</c:f>
              <c:numCache>
                <c:ptCount val="33"/>
                <c:pt idx="0">
                  <c:v>66</c:v>
                </c:pt>
                <c:pt idx="1">
                  <c:v>90</c:v>
                </c:pt>
                <c:pt idx="2">
                  <c:v>87</c:v>
                </c:pt>
                <c:pt idx="3">
                  <c:v>77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81</c:v>
                </c:pt>
                <c:pt idx="8">
                  <c:v>77</c:v>
                </c:pt>
                <c:pt idx="9">
                  <c:v>82</c:v>
                </c:pt>
                <c:pt idx="10">
                  <c:v>97</c:v>
                </c:pt>
                <c:pt idx="11">
                  <c:v>81</c:v>
                </c:pt>
                <c:pt idx="12">
                  <c:v>94</c:v>
                </c:pt>
                <c:pt idx="13">
                  <c:v>94</c:v>
                </c:pt>
                <c:pt idx="14">
                  <c:v>72</c:v>
                </c:pt>
                <c:pt idx="15">
                  <c:v>83</c:v>
                </c:pt>
                <c:pt idx="16">
                  <c:v>95</c:v>
                </c:pt>
                <c:pt idx="17">
                  <c:v>87</c:v>
                </c:pt>
                <c:pt idx="18">
                  <c:v>88</c:v>
                </c:pt>
                <c:pt idx="19">
                  <c:v>102</c:v>
                </c:pt>
                <c:pt idx="20">
                  <c:v>105</c:v>
                </c:pt>
                <c:pt idx="21">
                  <c:v>87</c:v>
                </c:pt>
                <c:pt idx="22">
                  <c:v>95</c:v>
                </c:pt>
                <c:pt idx="23">
                  <c:v>84</c:v>
                </c:pt>
                <c:pt idx="24">
                  <c:v>90</c:v>
                </c:pt>
                <c:pt idx="25">
                  <c:v>89</c:v>
                </c:pt>
                <c:pt idx="26">
                  <c:v>95</c:v>
                </c:pt>
                <c:pt idx="27">
                  <c:v>98</c:v>
                </c:pt>
                <c:pt idx="28">
                  <c:v>85</c:v>
                </c:pt>
                <c:pt idx="29">
                  <c:v>107</c:v>
                </c:pt>
                <c:pt idx="30">
                  <c:v>76</c:v>
                </c:pt>
                <c:pt idx="31">
                  <c:v>100</c:v>
                </c:pt>
                <c:pt idx="32">
                  <c:v>92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Req3!$B$89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Req3!$C$89:$AI$89</c:f>
              <c:numCache>
                <c:ptCount val="33"/>
                <c:pt idx="0">
                  <c:v>35</c:v>
                </c:pt>
                <c:pt idx="1">
                  <c:v>44</c:v>
                </c:pt>
                <c:pt idx="2">
                  <c:v>36</c:v>
                </c:pt>
                <c:pt idx="3">
                  <c:v>33</c:v>
                </c:pt>
                <c:pt idx="4">
                  <c:v>34</c:v>
                </c:pt>
                <c:pt idx="5">
                  <c:v>28</c:v>
                </c:pt>
                <c:pt idx="6">
                  <c:v>29</c:v>
                </c:pt>
                <c:pt idx="7">
                  <c:v>27</c:v>
                </c:pt>
                <c:pt idx="8">
                  <c:v>34</c:v>
                </c:pt>
                <c:pt idx="9">
                  <c:v>25</c:v>
                </c:pt>
                <c:pt idx="10">
                  <c:v>33</c:v>
                </c:pt>
                <c:pt idx="11">
                  <c:v>31</c:v>
                </c:pt>
                <c:pt idx="12">
                  <c:v>30</c:v>
                </c:pt>
                <c:pt idx="13">
                  <c:v>26</c:v>
                </c:pt>
                <c:pt idx="14">
                  <c:v>26</c:v>
                </c:pt>
                <c:pt idx="15">
                  <c:v>28</c:v>
                </c:pt>
                <c:pt idx="16">
                  <c:v>25</c:v>
                </c:pt>
                <c:pt idx="17">
                  <c:v>31</c:v>
                </c:pt>
                <c:pt idx="18">
                  <c:v>29</c:v>
                </c:pt>
                <c:pt idx="19">
                  <c:v>33</c:v>
                </c:pt>
                <c:pt idx="20">
                  <c:v>31</c:v>
                </c:pt>
                <c:pt idx="21">
                  <c:v>27</c:v>
                </c:pt>
                <c:pt idx="22">
                  <c:v>29</c:v>
                </c:pt>
                <c:pt idx="23">
                  <c:v>19</c:v>
                </c:pt>
                <c:pt idx="24">
                  <c:v>28</c:v>
                </c:pt>
                <c:pt idx="25">
                  <c:v>25</c:v>
                </c:pt>
                <c:pt idx="26">
                  <c:v>28</c:v>
                </c:pt>
                <c:pt idx="27">
                  <c:v>30</c:v>
                </c:pt>
                <c:pt idx="28">
                  <c:v>24</c:v>
                </c:pt>
                <c:pt idx="29">
                  <c:v>32</c:v>
                </c:pt>
                <c:pt idx="30">
                  <c:v>33</c:v>
                </c:pt>
                <c:pt idx="31">
                  <c:v>35</c:v>
                </c:pt>
                <c:pt idx="32">
                  <c:v>30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Req3!$B$90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Req3!$C$90:$AI$90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99</c:v>
                </c:pt>
                <c:pt idx="23">
                  <c:v>245</c:v>
                </c:pt>
                <c:pt idx="24">
                  <c:v>429</c:v>
                </c:pt>
                <c:pt idx="25">
                  <c:v>588</c:v>
                </c:pt>
                <c:pt idx="26">
                  <c:v>651</c:v>
                </c:pt>
                <c:pt idx="27">
                  <c:v>731</c:v>
                </c:pt>
                <c:pt idx="28">
                  <c:v>747</c:v>
                </c:pt>
                <c:pt idx="29">
                  <c:v>832</c:v>
                </c:pt>
                <c:pt idx="30">
                  <c:v>843</c:v>
                </c:pt>
                <c:pt idx="31">
                  <c:v>805</c:v>
                </c:pt>
                <c:pt idx="32">
                  <c:v>961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Req3!$B$91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Req3!$C$91:$AI$91</c:f>
              <c:numCache>
                <c:ptCount val="33"/>
                <c:pt idx="0">
                  <c:v>1232</c:v>
                </c:pt>
                <c:pt idx="1">
                  <c:v>1518</c:v>
                </c:pt>
                <c:pt idx="2">
                  <c:v>1431</c:v>
                </c:pt>
                <c:pt idx="3">
                  <c:v>1369</c:v>
                </c:pt>
                <c:pt idx="4">
                  <c:v>1407</c:v>
                </c:pt>
                <c:pt idx="5">
                  <c:v>1391</c:v>
                </c:pt>
                <c:pt idx="6">
                  <c:v>1494</c:v>
                </c:pt>
                <c:pt idx="7">
                  <c:v>1571</c:v>
                </c:pt>
                <c:pt idx="8">
                  <c:v>1505</c:v>
                </c:pt>
                <c:pt idx="9">
                  <c:v>1436</c:v>
                </c:pt>
                <c:pt idx="10">
                  <c:v>1651</c:v>
                </c:pt>
                <c:pt idx="11">
                  <c:v>1565</c:v>
                </c:pt>
                <c:pt idx="12">
                  <c:v>1617</c:v>
                </c:pt>
                <c:pt idx="13">
                  <c:v>1605</c:v>
                </c:pt>
                <c:pt idx="14">
                  <c:v>1514</c:v>
                </c:pt>
                <c:pt idx="15">
                  <c:v>1648</c:v>
                </c:pt>
                <c:pt idx="16">
                  <c:v>1592</c:v>
                </c:pt>
                <c:pt idx="17">
                  <c:v>1576</c:v>
                </c:pt>
                <c:pt idx="18">
                  <c:v>1622</c:v>
                </c:pt>
                <c:pt idx="19">
                  <c:v>1669</c:v>
                </c:pt>
                <c:pt idx="20">
                  <c:v>1581</c:v>
                </c:pt>
                <c:pt idx="21">
                  <c:v>1517</c:v>
                </c:pt>
                <c:pt idx="22">
                  <c:v>1612</c:v>
                </c:pt>
                <c:pt idx="23">
                  <c:v>1256</c:v>
                </c:pt>
                <c:pt idx="24">
                  <c:v>1230</c:v>
                </c:pt>
                <c:pt idx="25">
                  <c:v>1175</c:v>
                </c:pt>
                <c:pt idx="26">
                  <c:v>1001</c:v>
                </c:pt>
                <c:pt idx="27">
                  <c:v>1053</c:v>
                </c:pt>
                <c:pt idx="28">
                  <c:v>908</c:v>
                </c:pt>
                <c:pt idx="29">
                  <c:v>1012</c:v>
                </c:pt>
                <c:pt idx="30">
                  <c:v>900</c:v>
                </c:pt>
                <c:pt idx="31">
                  <c:v>877</c:v>
                </c:pt>
                <c:pt idx="32">
                  <c:v>980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Req3!$B$92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Req3!$C$92:$AI$92</c:f>
              <c:numCache>
                <c:ptCount val="33"/>
                <c:pt idx="0">
                  <c:v>740</c:v>
                </c:pt>
                <c:pt idx="1">
                  <c:v>906</c:v>
                </c:pt>
                <c:pt idx="2">
                  <c:v>849</c:v>
                </c:pt>
                <c:pt idx="3">
                  <c:v>815</c:v>
                </c:pt>
                <c:pt idx="4">
                  <c:v>825</c:v>
                </c:pt>
                <c:pt idx="5">
                  <c:v>823</c:v>
                </c:pt>
                <c:pt idx="6">
                  <c:v>839</c:v>
                </c:pt>
                <c:pt idx="7">
                  <c:v>865</c:v>
                </c:pt>
                <c:pt idx="8">
                  <c:v>803</c:v>
                </c:pt>
                <c:pt idx="9">
                  <c:v>737</c:v>
                </c:pt>
                <c:pt idx="10">
                  <c:v>850</c:v>
                </c:pt>
                <c:pt idx="11">
                  <c:v>818</c:v>
                </c:pt>
                <c:pt idx="12">
                  <c:v>853</c:v>
                </c:pt>
                <c:pt idx="13">
                  <c:v>791</c:v>
                </c:pt>
                <c:pt idx="14">
                  <c:v>767</c:v>
                </c:pt>
                <c:pt idx="15">
                  <c:v>797</c:v>
                </c:pt>
                <c:pt idx="16">
                  <c:v>794</c:v>
                </c:pt>
                <c:pt idx="17">
                  <c:v>754</c:v>
                </c:pt>
                <c:pt idx="18">
                  <c:v>819</c:v>
                </c:pt>
                <c:pt idx="19">
                  <c:v>801</c:v>
                </c:pt>
                <c:pt idx="20">
                  <c:v>782</c:v>
                </c:pt>
                <c:pt idx="21">
                  <c:v>747</c:v>
                </c:pt>
                <c:pt idx="22">
                  <c:v>809</c:v>
                </c:pt>
                <c:pt idx="23">
                  <c:v>705</c:v>
                </c:pt>
                <c:pt idx="24">
                  <c:v>754</c:v>
                </c:pt>
                <c:pt idx="25">
                  <c:v>742</c:v>
                </c:pt>
                <c:pt idx="26">
                  <c:v>674</c:v>
                </c:pt>
                <c:pt idx="27">
                  <c:v>691</c:v>
                </c:pt>
                <c:pt idx="28">
                  <c:v>639</c:v>
                </c:pt>
                <c:pt idx="29">
                  <c:v>710</c:v>
                </c:pt>
                <c:pt idx="30">
                  <c:v>650</c:v>
                </c:pt>
                <c:pt idx="31">
                  <c:v>631</c:v>
                </c:pt>
                <c:pt idx="32">
                  <c:v>725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Req3!$B$93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Req3!$C$93:$AI$93</c:f>
              <c:numCache>
                <c:ptCount val="33"/>
                <c:pt idx="0">
                  <c:v>322</c:v>
                </c:pt>
                <c:pt idx="1">
                  <c:v>381</c:v>
                </c:pt>
                <c:pt idx="2">
                  <c:v>349</c:v>
                </c:pt>
                <c:pt idx="3">
                  <c:v>352</c:v>
                </c:pt>
                <c:pt idx="4">
                  <c:v>362</c:v>
                </c:pt>
                <c:pt idx="5">
                  <c:v>368</c:v>
                </c:pt>
                <c:pt idx="6">
                  <c:v>359</c:v>
                </c:pt>
                <c:pt idx="7">
                  <c:v>364</c:v>
                </c:pt>
                <c:pt idx="8">
                  <c:v>338</c:v>
                </c:pt>
                <c:pt idx="9">
                  <c:v>322</c:v>
                </c:pt>
                <c:pt idx="10">
                  <c:v>381</c:v>
                </c:pt>
                <c:pt idx="11">
                  <c:v>347</c:v>
                </c:pt>
                <c:pt idx="12">
                  <c:v>354</c:v>
                </c:pt>
                <c:pt idx="13">
                  <c:v>358</c:v>
                </c:pt>
                <c:pt idx="14">
                  <c:v>329</c:v>
                </c:pt>
                <c:pt idx="15">
                  <c:v>340</c:v>
                </c:pt>
                <c:pt idx="16">
                  <c:v>338</c:v>
                </c:pt>
                <c:pt idx="17">
                  <c:v>337</c:v>
                </c:pt>
                <c:pt idx="18">
                  <c:v>347</c:v>
                </c:pt>
                <c:pt idx="19">
                  <c:v>343</c:v>
                </c:pt>
                <c:pt idx="20">
                  <c:v>355</c:v>
                </c:pt>
                <c:pt idx="21">
                  <c:v>291</c:v>
                </c:pt>
                <c:pt idx="22">
                  <c:v>356</c:v>
                </c:pt>
                <c:pt idx="23">
                  <c:v>284</c:v>
                </c:pt>
                <c:pt idx="24">
                  <c:v>331</c:v>
                </c:pt>
                <c:pt idx="25">
                  <c:v>342</c:v>
                </c:pt>
                <c:pt idx="26">
                  <c:v>305</c:v>
                </c:pt>
                <c:pt idx="27">
                  <c:v>325</c:v>
                </c:pt>
                <c:pt idx="28">
                  <c:v>294</c:v>
                </c:pt>
                <c:pt idx="29">
                  <c:v>330</c:v>
                </c:pt>
                <c:pt idx="30">
                  <c:v>292</c:v>
                </c:pt>
                <c:pt idx="31">
                  <c:v>297</c:v>
                </c:pt>
                <c:pt idx="32">
                  <c:v>324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Req3!$B$94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Req3!$C$94:$AI$94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marker val="1"/>
        <c:axId val="48538007"/>
        <c:axId val="34188880"/>
      </c:lineChart>
      <c:date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0"/>
        <c:noMultiLvlLbl val="0"/>
      </c:date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"/>
          <c:w val="0.743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Req2!$C$108:$AI$108</c:f>
              <c:numCache>
                <c:ptCount val="33"/>
                <c:pt idx="0">
                  <c:v>9408</c:v>
                </c:pt>
                <c:pt idx="1">
                  <c:v>10889</c:v>
                </c:pt>
                <c:pt idx="2">
                  <c:v>10365</c:v>
                </c:pt>
                <c:pt idx="3">
                  <c:v>10283</c:v>
                </c:pt>
                <c:pt idx="4">
                  <c:v>10499</c:v>
                </c:pt>
                <c:pt idx="5">
                  <c:v>10621</c:v>
                </c:pt>
                <c:pt idx="6">
                  <c:v>10935</c:v>
                </c:pt>
                <c:pt idx="7">
                  <c:v>11172</c:v>
                </c:pt>
                <c:pt idx="8">
                  <c:v>11097</c:v>
                </c:pt>
                <c:pt idx="9">
                  <c:v>10566</c:v>
                </c:pt>
                <c:pt idx="10">
                  <c:v>11894</c:v>
                </c:pt>
                <c:pt idx="11">
                  <c:v>11551</c:v>
                </c:pt>
                <c:pt idx="12">
                  <c:v>12054</c:v>
                </c:pt>
                <c:pt idx="13">
                  <c:v>11727</c:v>
                </c:pt>
                <c:pt idx="14">
                  <c:v>11352</c:v>
                </c:pt>
                <c:pt idx="15">
                  <c:v>11751</c:v>
                </c:pt>
                <c:pt idx="16">
                  <c:v>11831</c:v>
                </c:pt>
                <c:pt idx="17">
                  <c:v>11753</c:v>
                </c:pt>
                <c:pt idx="18">
                  <c:v>12046</c:v>
                </c:pt>
                <c:pt idx="19">
                  <c:v>12281</c:v>
                </c:pt>
                <c:pt idx="20">
                  <c:v>12126</c:v>
                </c:pt>
                <c:pt idx="21">
                  <c:v>11851</c:v>
                </c:pt>
                <c:pt idx="22">
                  <c:v>12800</c:v>
                </c:pt>
                <c:pt idx="23">
                  <c:v>11767</c:v>
                </c:pt>
                <c:pt idx="24">
                  <c:v>12778</c:v>
                </c:pt>
                <c:pt idx="25">
                  <c:v>13025</c:v>
                </c:pt>
                <c:pt idx="26">
                  <c:v>12410</c:v>
                </c:pt>
                <c:pt idx="27">
                  <c:v>12938</c:v>
                </c:pt>
                <c:pt idx="28">
                  <c:v>12558</c:v>
                </c:pt>
                <c:pt idx="29">
                  <c:v>13485</c:v>
                </c:pt>
                <c:pt idx="30">
                  <c:v>13047</c:v>
                </c:pt>
                <c:pt idx="31">
                  <c:v>12765</c:v>
                </c:pt>
                <c:pt idx="32">
                  <c:v>13900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4103</c:v>
                </c:pt>
                <c:pt idx="1">
                  <c:v>4765</c:v>
                </c:pt>
                <c:pt idx="2">
                  <c:v>4492</c:v>
                </c:pt>
                <c:pt idx="3">
                  <c:v>4492</c:v>
                </c:pt>
                <c:pt idx="4">
                  <c:v>4531</c:v>
                </c:pt>
                <c:pt idx="5">
                  <c:v>4664</c:v>
                </c:pt>
                <c:pt idx="6">
                  <c:v>4733</c:v>
                </c:pt>
                <c:pt idx="7">
                  <c:v>4805</c:v>
                </c:pt>
                <c:pt idx="8">
                  <c:v>4846</c:v>
                </c:pt>
                <c:pt idx="9">
                  <c:v>4516</c:v>
                </c:pt>
                <c:pt idx="10">
                  <c:v>5101</c:v>
                </c:pt>
                <c:pt idx="11">
                  <c:v>5000</c:v>
                </c:pt>
                <c:pt idx="12">
                  <c:v>5122</c:v>
                </c:pt>
                <c:pt idx="13">
                  <c:v>4951</c:v>
                </c:pt>
                <c:pt idx="14">
                  <c:v>4819</c:v>
                </c:pt>
                <c:pt idx="15">
                  <c:v>5050</c:v>
                </c:pt>
                <c:pt idx="16">
                  <c:v>5055</c:v>
                </c:pt>
                <c:pt idx="17">
                  <c:v>5048</c:v>
                </c:pt>
                <c:pt idx="18">
                  <c:v>5115</c:v>
                </c:pt>
                <c:pt idx="19">
                  <c:v>5276</c:v>
                </c:pt>
                <c:pt idx="20">
                  <c:v>5196</c:v>
                </c:pt>
                <c:pt idx="21">
                  <c:v>4996</c:v>
                </c:pt>
                <c:pt idx="22">
                  <c:v>5328</c:v>
                </c:pt>
                <c:pt idx="23">
                  <c:v>4924</c:v>
                </c:pt>
                <c:pt idx="24">
                  <c:v>5205</c:v>
                </c:pt>
                <c:pt idx="25">
                  <c:v>5241</c:v>
                </c:pt>
                <c:pt idx="26">
                  <c:v>5014</c:v>
                </c:pt>
                <c:pt idx="27">
                  <c:v>5206</c:v>
                </c:pt>
                <c:pt idx="28">
                  <c:v>5110</c:v>
                </c:pt>
                <c:pt idx="29">
                  <c:v>5464</c:v>
                </c:pt>
                <c:pt idx="30">
                  <c:v>5287</c:v>
                </c:pt>
                <c:pt idx="31">
                  <c:v>5145</c:v>
                </c:pt>
                <c:pt idx="32">
                  <c:v>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Req2!$C$110:$AI$110</c:f>
              <c:numCache>
                <c:ptCount val="33"/>
                <c:pt idx="0">
                  <c:v>6925</c:v>
                </c:pt>
                <c:pt idx="1">
                  <c:v>8062</c:v>
                </c:pt>
                <c:pt idx="2">
                  <c:v>7592</c:v>
                </c:pt>
                <c:pt idx="3">
                  <c:v>7630</c:v>
                </c:pt>
                <c:pt idx="4">
                  <c:v>7788</c:v>
                </c:pt>
                <c:pt idx="5">
                  <c:v>7934</c:v>
                </c:pt>
                <c:pt idx="6">
                  <c:v>8119</c:v>
                </c:pt>
                <c:pt idx="7">
                  <c:v>8296</c:v>
                </c:pt>
                <c:pt idx="8">
                  <c:v>8274</c:v>
                </c:pt>
                <c:pt idx="9">
                  <c:v>7824</c:v>
                </c:pt>
                <c:pt idx="10">
                  <c:v>8842</c:v>
                </c:pt>
                <c:pt idx="11">
                  <c:v>8561</c:v>
                </c:pt>
                <c:pt idx="12">
                  <c:v>8935</c:v>
                </c:pt>
                <c:pt idx="13">
                  <c:v>8674</c:v>
                </c:pt>
                <c:pt idx="14">
                  <c:v>8394</c:v>
                </c:pt>
                <c:pt idx="15">
                  <c:v>8702</c:v>
                </c:pt>
                <c:pt idx="16">
                  <c:v>8758</c:v>
                </c:pt>
                <c:pt idx="17">
                  <c:v>8668</c:v>
                </c:pt>
                <c:pt idx="18">
                  <c:v>8857</c:v>
                </c:pt>
                <c:pt idx="19">
                  <c:v>9063</c:v>
                </c:pt>
                <c:pt idx="20">
                  <c:v>8922</c:v>
                </c:pt>
                <c:pt idx="21">
                  <c:v>8746</c:v>
                </c:pt>
                <c:pt idx="22">
                  <c:v>9356</c:v>
                </c:pt>
                <c:pt idx="23">
                  <c:v>8654</c:v>
                </c:pt>
                <c:pt idx="24">
                  <c:v>9364</c:v>
                </c:pt>
                <c:pt idx="25">
                  <c:v>9471</c:v>
                </c:pt>
                <c:pt idx="26">
                  <c:v>9037</c:v>
                </c:pt>
                <c:pt idx="27">
                  <c:v>9435</c:v>
                </c:pt>
                <c:pt idx="28">
                  <c:v>9194</c:v>
                </c:pt>
                <c:pt idx="29">
                  <c:v>9808</c:v>
                </c:pt>
                <c:pt idx="30">
                  <c:v>9514</c:v>
                </c:pt>
                <c:pt idx="31">
                  <c:v>9253</c:v>
                </c:pt>
                <c:pt idx="32">
                  <c:v>10076</c:v>
                </c:pt>
              </c:numCache>
            </c:numRef>
          </c:val>
          <c:smooth val="0"/>
        </c:ser>
        <c:marker val="1"/>
        <c:axId val="8619079"/>
        <c:axId val="10462848"/>
      </c:lineChart>
      <c:dateAx>
        <c:axId val="8619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0"/>
        <c:noMultiLvlLbl val="0"/>
      </c:dateAx>
      <c:valAx>
        <c:axId val="10462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Req1!$C$97:$X$97</c:f>
              <c:numCache>
                <c:ptCount val="22"/>
                <c:pt idx="0">
                  <c:v>421945.021</c:v>
                </c:pt>
                <c:pt idx="1">
                  <c:v>428781.47699999996</c:v>
                </c:pt>
                <c:pt idx="2">
                  <c:v>422581.88</c:v>
                </c:pt>
                <c:pt idx="3">
                  <c:v>419139.34349999996</c:v>
                </c:pt>
                <c:pt idx="4">
                  <c:v>417251.24399999995</c:v>
                </c:pt>
                <c:pt idx="5">
                  <c:v>415263.4495</c:v>
                </c:pt>
                <c:pt idx="6">
                  <c:v>413494.39749999996</c:v>
                </c:pt>
                <c:pt idx="7">
                  <c:v>411327.984</c:v>
                </c:pt>
                <c:pt idx="8">
                  <c:v>408909.4635</c:v>
                </c:pt>
                <c:pt idx="9">
                  <c:v>406502.509</c:v>
                </c:pt>
                <c:pt idx="10">
                  <c:v>405184.08900000004</c:v>
                </c:pt>
                <c:pt idx="11">
                  <c:v>401732.97349999996</c:v>
                </c:pt>
                <c:pt idx="12">
                  <c:v>396257.6015</c:v>
                </c:pt>
                <c:pt idx="13">
                  <c:v>394415.9465</c:v>
                </c:pt>
                <c:pt idx="14">
                  <c:v>395193.8335</c:v>
                </c:pt>
                <c:pt idx="15">
                  <c:v>396885.5525</c:v>
                </c:pt>
                <c:pt idx="16">
                  <c:v>396958.1645000001</c:v>
                </c:pt>
                <c:pt idx="17">
                  <c:v>396721.732</c:v>
                </c:pt>
                <c:pt idx="18">
                  <c:v>400012.0745</c:v>
                </c:pt>
                <c:pt idx="19">
                  <c:v>399781.88450000004</c:v>
                </c:pt>
                <c:pt idx="20">
                  <c:v>396851.228</c:v>
                </c:pt>
                <c:pt idx="21">
                  <c:v>400157.463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Req1!$C$98:$X$98</c:f>
              <c:numCache>
                <c:ptCount val="22"/>
                <c:pt idx="0">
                  <c:v>944651.6484999999</c:v>
                </c:pt>
                <c:pt idx="1">
                  <c:v>967279.95</c:v>
                </c:pt>
                <c:pt idx="2">
                  <c:v>970497.476</c:v>
                </c:pt>
                <c:pt idx="3">
                  <c:v>976114.5875</c:v>
                </c:pt>
                <c:pt idx="4">
                  <c:v>986692.0094999999</c:v>
                </c:pt>
                <c:pt idx="5">
                  <c:v>995241.9095000001</c:v>
                </c:pt>
                <c:pt idx="6">
                  <c:v>999683.3659999999</c:v>
                </c:pt>
                <c:pt idx="7">
                  <c:v>1005168.2105</c:v>
                </c:pt>
                <c:pt idx="8">
                  <c:v>1009032.7355</c:v>
                </c:pt>
                <c:pt idx="9">
                  <c:v>1011003.9504999999</c:v>
                </c:pt>
                <c:pt idx="10">
                  <c:v>1015716.71</c:v>
                </c:pt>
                <c:pt idx="11">
                  <c:v>1012676.3645</c:v>
                </c:pt>
                <c:pt idx="12">
                  <c:v>1004776.6410000001</c:v>
                </c:pt>
                <c:pt idx="13">
                  <c:v>1001486.8775</c:v>
                </c:pt>
                <c:pt idx="14">
                  <c:v>1002334.0009999999</c:v>
                </c:pt>
                <c:pt idx="15">
                  <c:v>995840.009</c:v>
                </c:pt>
                <c:pt idx="16">
                  <c:v>983146.0464999999</c:v>
                </c:pt>
                <c:pt idx="17">
                  <c:v>963494.2342000001</c:v>
                </c:pt>
                <c:pt idx="18">
                  <c:v>949927.0508</c:v>
                </c:pt>
                <c:pt idx="19">
                  <c:v>928887.3716</c:v>
                </c:pt>
                <c:pt idx="20">
                  <c:v>902910.4941</c:v>
                </c:pt>
                <c:pt idx="21">
                  <c:v>888083.9057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Req1!$C$99:$X$99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295.483</c:v>
                </c:pt>
                <c:pt idx="15">
                  <c:v>753.252</c:v>
                </c:pt>
                <c:pt idx="16">
                  <c:v>1403.927</c:v>
                </c:pt>
                <c:pt idx="17">
                  <c:v>2389.891</c:v>
                </c:pt>
                <c:pt idx="18">
                  <c:v>4190.347</c:v>
                </c:pt>
                <c:pt idx="19">
                  <c:v>6565.8667</c:v>
                </c:pt>
                <c:pt idx="20">
                  <c:v>9356.429</c:v>
                </c:pt>
                <c:pt idx="21">
                  <c:v>12677.0833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Req1!$C$100:$X$100</c:f>
              <c:numCache>
                <c:ptCount val="22"/>
                <c:pt idx="0">
                  <c:v>179314.3605</c:v>
                </c:pt>
                <c:pt idx="1">
                  <c:v>184643.1035</c:v>
                </c:pt>
                <c:pt idx="2">
                  <c:v>185196.20650000003</c:v>
                </c:pt>
                <c:pt idx="3">
                  <c:v>186837.06300000002</c:v>
                </c:pt>
                <c:pt idx="4">
                  <c:v>189125.1685</c:v>
                </c:pt>
                <c:pt idx="5">
                  <c:v>190067.57049999997</c:v>
                </c:pt>
                <c:pt idx="6">
                  <c:v>191030.61100000003</c:v>
                </c:pt>
                <c:pt idx="7">
                  <c:v>191686.445</c:v>
                </c:pt>
                <c:pt idx="8">
                  <c:v>190941.9995</c:v>
                </c:pt>
                <c:pt idx="9">
                  <c:v>191575.035</c:v>
                </c:pt>
                <c:pt idx="10">
                  <c:v>192404.486</c:v>
                </c:pt>
                <c:pt idx="11">
                  <c:v>190365.4</c:v>
                </c:pt>
                <c:pt idx="12">
                  <c:v>189126.499</c:v>
                </c:pt>
                <c:pt idx="13">
                  <c:v>187099.671</c:v>
                </c:pt>
                <c:pt idx="14">
                  <c:v>186283.565</c:v>
                </c:pt>
                <c:pt idx="15">
                  <c:v>185306.698</c:v>
                </c:pt>
                <c:pt idx="16">
                  <c:v>183821.7403</c:v>
                </c:pt>
                <c:pt idx="17">
                  <c:v>182043.5906</c:v>
                </c:pt>
                <c:pt idx="18">
                  <c:v>181725.12060000002</c:v>
                </c:pt>
                <c:pt idx="19">
                  <c:v>180040.0574</c:v>
                </c:pt>
                <c:pt idx="20">
                  <c:v>178518.6231</c:v>
                </c:pt>
                <c:pt idx="21">
                  <c:v>178103.5134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Req1!$C$101:$X$101</c:f>
              <c:numCache>
                <c:ptCount val="22"/>
                <c:pt idx="0">
                  <c:v>823659.056</c:v>
                </c:pt>
                <c:pt idx="1">
                  <c:v>843362.1510000001</c:v>
                </c:pt>
                <c:pt idx="2">
                  <c:v>847010.0874999999</c:v>
                </c:pt>
                <c:pt idx="3">
                  <c:v>854430.9624999999</c:v>
                </c:pt>
                <c:pt idx="4">
                  <c:v>866225.852</c:v>
                </c:pt>
                <c:pt idx="5">
                  <c:v>875489.8169999999</c:v>
                </c:pt>
                <c:pt idx="6">
                  <c:v>881439.5349999999</c:v>
                </c:pt>
                <c:pt idx="7">
                  <c:v>886758.8335</c:v>
                </c:pt>
                <c:pt idx="8">
                  <c:v>891740.3289999999</c:v>
                </c:pt>
                <c:pt idx="9">
                  <c:v>894990.2969999999</c:v>
                </c:pt>
                <c:pt idx="10">
                  <c:v>900387.6325</c:v>
                </c:pt>
                <c:pt idx="11">
                  <c:v>900777.7104999999</c:v>
                </c:pt>
                <c:pt idx="12">
                  <c:v>896231.2734999999</c:v>
                </c:pt>
                <c:pt idx="13">
                  <c:v>897892.1445</c:v>
                </c:pt>
                <c:pt idx="14">
                  <c:v>892944.1305000001</c:v>
                </c:pt>
                <c:pt idx="15">
                  <c:v>886592.8485000001</c:v>
                </c:pt>
                <c:pt idx="16">
                  <c:v>881094.3990000001</c:v>
                </c:pt>
                <c:pt idx="17">
                  <c:v>871537.715</c:v>
                </c:pt>
                <c:pt idx="18">
                  <c:v>870002.7174000001</c:v>
                </c:pt>
                <c:pt idx="19">
                  <c:v>861832.0499999999</c:v>
                </c:pt>
                <c:pt idx="20">
                  <c:v>842777.6616999999</c:v>
                </c:pt>
                <c:pt idx="21">
                  <c:v>836930.9697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Req1!$C$102:$X$102</c:f>
              <c:numCache>
                <c:ptCount val="22"/>
                <c:pt idx="0">
                  <c:v>102424.035</c:v>
                </c:pt>
                <c:pt idx="1">
                  <c:v>109162.458</c:v>
                </c:pt>
                <c:pt idx="2">
                  <c:v>113594.898</c:v>
                </c:pt>
                <c:pt idx="3">
                  <c:v>117159.6405</c:v>
                </c:pt>
                <c:pt idx="4">
                  <c:v>120780.77849999999</c:v>
                </c:pt>
                <c:pt idx="5">
                  <c:v>124430.5155</c:v>
                </c:pt>
                <c:pt idx="6">
                  <c:v>127915.7475</c:v>
                </c:pt>
                <c:pt idx="7">
                  <c:v>133258.7415</c:v>
                </c:pt>
                <c:pt idx="8">
                  <c:v>138636.252</c:v>
                </c:pt>
                <c:pt idx="9">
                  <c:v>144351.9105</c:v>
                </c:pt>
                <c:pt idx="10">
                  <c:v>150269.304</c:v>
                </c:pt>
                <c:pt idx="11">
                  <c:v>157896.81</c:v>
                </c:pt>
                <c:pt idx="12">
                  <c:v>164718.7215</c:v>
                </c:pt>
                <c:pt idx="13">
                  <c:v>173583.62850000002</c:v>
                </c:pt>
                <c:pt idx="14">
                  <c:v>184711.0845</c:v>
                </c:pt>
                <c:pt idx="15">
                  <c:v>194580.3123</c:v>
                </c:pt>
                <c:pt idx="16">
                  <c:v>207559.6768</c:v>
                </c:pt>
                <c:pt idx="17">
                  <c:v>218501.316</c:v>
                </c:pt>
                <c:pt idx="18">
                  <c:v>233706.5027</c:v>
                </c:pt>
                <c:pt idx="19">
                  <c:v>246651.8414</c:v>
                </c:pt>
                <c:pt idx="20">
                  <c:v>258184.756</c:v>
                </c:pt>
                <c:pt idx="21">
                  <c:v>274735.2968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Req1!$C$103:$X$103</c:f>
              <c:numCache>
                <c:ptCount val="22"/>
                <c:pt idx="0">
                  <c:v>14730.6705</c:v>
                </c:pt>
                <c:pt idx="1">
                  <c:v>23427.8785</c:v>
                </c:pt>
                <c:pt idx="2">
                  <c:v>32373.1915</c:v>
                </c:pt>
                <c:pt idx="3">
                  <c:v>41981.6215</c:v>
                </c:pt>
                <c:pt idx="4">
                  <c:v>52217.0805</c:v>
                </c:pt>
                <c:pt idx="5">
                  <c:v>63334.44</c:v>
                </c:pt>
                <c:pt idx="6">
                  <c:v>75123.9385</c:v>
                </c:pt>
                <c:pt idx="7">
                  <c:v>87689.329</c:v>
                </c:pt>
                <c:pt idx="8">
                  <c:v>101285.483</c:v>
                </c:pt>
                <c:pt idx="9">
                  <c:v>114453.092</c:v>
                </c:pt>
                <c:pt idx="10">
                  <c:v>126089.2165</c:v>
                </c:pt>
                <c:pt idx="11">
                  <c:v>136633.679</c:v>
                </c:pt>
                <c:pt idx="12">
                  <c:v>145080.5265</c:v>
                </c:pt>
                <c:pt idx="13">
                  <c:v>152649.9845</c:v>
                </c:pt>
                <c:pt idx="14">
                  <c:v>160995.3345</c:v>
                </c:pt>
                <c:pt idx="15">
                  <c:v>167358.1</c:v>
                </c:pt>
                <c:pt idx="16">
                  <c:v>174830.5715</c:v>
                </c:pt>
                <c:pt idx="17">
                  <c:v>179666.3635</c:v>
                </c:pt>
                <c:pt idx="18">
                  <c:v>185562.2405</c:v>
                </c:pt>
                <c:pt idx="19">
                  <c:v>189556.731</c:v>
                </c:pt>
                <c:pt idx="20">
                  <c:v>191735.544</c:v>
                </c:pt>
                <c:pt idx="21">
                  <c:v>195849.576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Req1!$C$104:$X$104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379.625</c:v>
                </c:pt>
                <c:pt idx="10">
                  <c:v>2618.401</c:v>
                </c:pt>
                <c:pt idx="11">
                  <c:v>8365.267</c:v>
                </c:pt>
                <c:pt idx="12">
                  <c:v>14648.439999999999</c:v>
                </c:pt>
                <c:pt idx="13">
                  <c:v>25802.051</c:v>
                </c:pt>
                <c:pt idx="14">
                  <c:v>37347.026</c:v>
                </c:pt>
                <c:pt idx="15">
                  <c:v>48705.97900000001</c:v>
                </c:pt>
                <c:pt idx="16">
                  <c:v>61965.518000000004</c:v>
                </c:pt>
                <c:pt idx="17">
                  <c:v>75945.326</c:v>
                </c:pt>
                <c:pt idx="18">
                  <c:v>90707.37700000001</c:v>
                </c:pt>
                <c:pt idx="19">
                  <c:v>105883.512</c:v>
                </c:pt>
                <c:pt idx="20">
                  <c:v>122066.04500000001</c:v>
                </c:pt>
                <c:pt idx="21">
                  <c:v>140721.385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Req1!$C$105:$X$105</c:f>
              <c:numCache>
                <c:ptCount val="22"/>
                <c:pt idx="0">
                  <c:v>3507.168</c:v>
                </c:pt>
                <c:pt idx="1">
                  <c:v>3384.982</c:v>
                </c:pt>
                <c:pt idx="2">
                  <c:v>3376.386</c:v>
                </c:pt>
                <c:pt idx="3">
                  <c:v>3335.862</c:v>
                </c:pt>
                <c:pt idx="4">
                  <c:v>3376.386</c:v>
                </c:pt>
                <c:pt idx="5">
                  <c:v>3335.248</c:v>
                </c:pt>
                <c:pt idx="6">
                  <c:v>3419.366</c:v>
                </c:pt>
                <c:pt idx="7">
                  <c:v>3471.556</c:v>
                </c:pt>
                <c:pt idx="8">
                  <c:v>3492.432</c:v>
                </c:pt>
                <c:pt idx="9">
                  <c:v>3604.794</c:v>
                </c:pt>
                <c:pt idx="10">
                  <c:v>3600.496</c:v>
                </c:pt>
                <c:pt idx="11">
                  <c:v>3591.9</c:v>
                </c:pt>
                <c:pt idx="12">
                  <c:v>3591.9</c:v>
                </c:pt>
                <c:pt idx="13">
                  <c:v>3612.776</c:v>
                </c:pt>
                <c:pt idx="14">
                  <c:v>3697.508</c:v>
                </c:pt>
                <c:pt idx="15">
                  <c:v>3677.86</c:v>
                </c:pt>
                <c:pt idx="16">
                  <c:v>3673.562</c:v>
                </c:pt>
                <c:pt idx="17">
                  <c:v>3709.788</c:v>
                </c:pt>
                <c:pt idx="18">
                  <c:v>3710.402</c:v>
                </c:pt>
                <c:pt idx="19">
                  <c:v>3758.294</c:v>
                </c:pt>
                <c:pt idx="20">
                  <c:v>3741.716</c:v>
                </c:pt>
                <c:pt idx="21">
                  <c:v>3765.662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Req1!$C$106:$X$106</c:f>
              <c:numCache>
                <c:ptCount val="22"/>
                <c:pt idx="0">
                  <c:v>276891.4895</c:v>
                </c:pt>
                <c:pt idx="1">
                  <c:v>281738.87549999997</c:v>
                </c:pt>
                <c:pt idx="2">
                  <c:v>281410.583</c:v>
                </c:pt>
                <c:pt idx="3">
                  <c:v>281052.29</c:v>
                </c:pt>
                <c:pt idx="4">
                  <c:v>283492.2945</c:v>
                </c:pt>
                <c:pt idx="5">
                  <c:v>284866.8645</c:v>
                </c:pt>
                <c:pt idx="6">
                  <c:v>286078.489</c:v>
                </c:pt>
                <c:pt idx="7">
                  <c:v>287050.407</c:v>
                </c:pt>
                <c:pt idx="8">
                  <c:v>287392.3795</c:v>
                </c:pt>
                <c:pt idx="9">
                  <c:v>287808.3655</c:v>
                </c:pt>
                <c:pt idx="10">
                  <c:v>287962.708</c:v>
                </c:pt>
                <c:pt idx="11">
                  <c:v>287633.25450000004</c:v>
                </c:pt>
                <c:pt idx="12">
                  <c:v>284435.977</c:v>
                </c:pt>
                <c:pt idx="13">
                  <c:v>282044.2695</c:v>
                </c:pt>
                <c:pt idx="14">
                  <c:v>279805.1637</c:v>
                </c:pt>
                <c:pt idx="15">
                  <c:v>276556.4449</c:v>
                </c:pt>
                <c:pt idx="16">
                  <c:v>272685.0546</c:v>
                </c:pt>
                <c:pt idx="17">
                  <c:v>267701.19909999997</c:v>
                </c:pt>
                <c:pt idx="18">
                  <c:v>264447.3601</c:v>
                </c:pt>
                <c:pt idx="19">
                  <c:v>258677.8396</c:v>
                </c:pt>
                <c:pt idx="20">
                  <c:v>251567.79010000004</c:v>
                </c:pt>
                <c:pt idx="21">
                  <c:v>248071.9246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Req1!$C$107:$X$107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55.077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1366596.6694999998</c:v>
                </c:pt>
                <c:pt idx="1">
                  <c:v>1396061.427</c:v>
                </c:pt>
                <c:pt idx="2">
                  <c:v>1393079.3560000001</c:v>
                </c:pt>
                <c:pt idx="3">
                  <c:v>1395253.9309999999</c:v>
                </c:pt>
                <c:pt idx="4">
                  <c:v>1403943.2534999999</c:v>
                </c:pt>
                <c:pt idx="5">
                  <c:v>1410505.3590000002</c:v>
                </c:pt>
                <c:pt idx="6">
                  <c:v>1413177.7635</c:v>
                </c:pt>
                <c:pt idx="7">
                  <c:v>1416496.1945</c:v>
                </c:pt>
                <c:pt idx="8">
                  <c:v>1417942.199</c:v>
                </c:pt>
                <c:pt idx="9">
                  <c:v>1417506.4594999999</c:v>
                </c:pt>
                <c:pt idx="10">
                  <c:v>1420900.799</c:v>
                </c:pt>
                <c:pt idx="11">
                  <c:v>1414409.338</c:v>
                </c:pt>
                <c:pt idx="12">
                  <c:v>1401034.2425000002</c:v>
                </c:pt>
                <c:pt idx="13">
                  <c:v>1395902.824</c:v>
                </c:pt>
                <c:pt idx="14">
                  <c:v>1397823.3175</c:v>
                </c:pt>
                <c:pt idx="15">
                  <c:v>1393478.8135</c:v>
                </c:pt>
                <c:pt idx="16">
                  <c:v>1381508.138</c:v>
                </c:pt>
                <c:pt idx="17">
                  <c:v>1362605.8572000002</c:v>
                </c:pt>
                <c:pt idx="18">
                  <c:v>1354129.4723</c:v>
                </c:pt>
                <c:pt idx="19">
                  <c:v>1335235.1227999998</c:v>
                </c:pt>
                <c:pt idx="20">
                  <c:v>1309118.1511</c:v>
                </c:pt>
                <c:pt idx="21">
                  <c:v>1300918.452</c:v>
                </c:pt>
              </c:numCache>
            </c:numRef>
          </c:val>
          <c:smooth val="0"/>
        </c:ser>
        <c:marker val="1"/>
        <c:axId val="27056769"/>
        <c:axId val="42184330"/>
      </c:lineChart>
      <c:dateAx>
        <c:axId val="27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0"/>
        <c:noMultiLvlLbl val="0"/>
      </c:date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Req1!$C$115:$X$115</c:f>
              <c:numCache>
                <c:ptCount val="22"/>
                <c:pt idx="0">
                  <c:v>0.15248507295635294</c:v>
                </c:pt>
                <c:pt idx="1">
                  <c:v>0.1508847781673376</c:v>
                </c:pt>
                <c:pt idx="2">
                  <c:v>0.1479607341528199</c:v>
                </c:pt>
                <c:pt idx="3">
                  <c:v>0.14553189842139308</c:v>
                </c:pt>
                <c:pt idx="4">
                  <c:v>0.14293534020817658</c:v>
                </c:pt>
                <c:pt idx="5">
                  <c:v>0.14067047949864123</c:v>
                </c:pt>
                <c:pt idx="6">
                  <c:v>0.13884105082528672</c:v>
                </c:pt>
                <c:pt idx="7">
                  <c:v>0.13681692712747073</c:v>
                </c:pt>
                <c:pt idx="8">
                  <c:v>0.13488990958994176</c:v>
                </c:pt>
                <c:pt idx="9">
                  <c:v>0.13307577089880002</c:v>
                </c:pt>
                <c:pt idx="10">
                  <c:v>0.13137272162997185</c:v>
                </c:pt>
                <c:pt idx="11">
                  <c:v>0.12960493799566186</c:v>
                </c:pt>
                <c:pt idx="12">
                  <c:v>0.12787174387748443</c:v>
                </c:pt>
                <c:pt idx="13">
                  <c:v>0.1264726308296199</c:v>
                </c:pt>
                <c:pt idx="14">
                  <c:v>0.12571349319267963</c:v>
                </c:pt>
                <c:pt idx="15">
                  <c:v>0.1257456365033314</c:v>
                </c:pt>
                <c:pt idx="16">
                  <c:v>0.12533652835867082</c:v>
                </c:pt>
                <c:pt idx="17">
                  <c:v>0.12547690554288132</c:v>
                </c:pt>
                <c:pt idx="18">
                  <c:v>0.12563228046286024</c:v>
                </c:pt>
                <c:pt idx="19">
                  <c:v>0.12565295144865682</c:v>
                </c:pt>
                <c:pt idx="20">
                  <c:v>0.1256768962098264</c:v>
                </c:pt>
                <c:pt idx="21">
                  <c:v>0.12586925100222873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Req1!$C$116:$X$116</c:f>
              <c:numCache>
                <c:ptCount val="22"/>
                <c:pt idx="0">
                  <c:v>0.3413839916832709</c:v>
                </c:pt>
                <c:pt idx="1">
                  <c:v>0.3403780911960043</c:v>
                </c:pt>
                <c:pt idx="2">
                  <c:v>0.3398051971429033</c:v>
                </c:pt>
                <c:pt idx="3">
                  <c:v>0.338922630859372</c:v>
                </c:pt>
                <c:pt idx="4">
                  <c:v>0.3380053626840041</c:v>
                </c:pt>
                <c:pt idx="5">
                  <c:v>0.3371381632433035</c:v>
                </c:pt>
                <c:pt idx="6">
                  <c:v>0.3356686084918471</c:v>
                </c:pt>
                <c:pt idx="7">
                  <c:v>0.33434152587787136</c:v>
                </c:pt>
                <c:pt idx="8">
                  <c:v>0.33285689526451034</c:v>
                </c:pt>
                <c:pt idx="9">
                  <c:v>0.3309699869392928</c:v>
                </c:pt>
                <c:pt idx="10">
                  <c:v>0.329325539230986</c:v>
                </c:pt>
                <c:pt idx="11">
                  <c:v>0.3267042191912454</c:v>
                </c:pt>
                <c:pt idx="12">
                  <c:v>0.32423994090125013</c:v>
                </c:pt>
                <c:pt idx="13">
                  <c:v>0.3211347848958391</c:v>
                </c:pt>
                <c:pt idx="14">
                  <c:v>0.3188483673835078</c:v>
                </c:pt>
                <c:pt idx="15">
                  <c:v>0.3155129608482996</c:v>
                </c:pt>
                <c:pt idx="16">
                  <c:v>0.3104209041601973</c:v>
                </c:pt>
                <c:pt idx="17">
                  <c:v>0.3047382214388603</c:v>
                </c:pt>
                <c:pt idx="18">
                  <c:v>0.2983447482542512</c:v>
                </c:pt>
                <c:pt idx="19">
                  <c:v>0.2919527980886418</c:v>
                </c:pt>
                <c:pt idx="20">
                  <c:v>0.28593835787190447</c:v>
                </c:pt>
                <c:pt idx="21">
                  <c:v>0.2793461733777359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Req1!$C$117:$X$117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9.399488797704774E-05</c:v>
                </c:pt>
                <c:pt idx="15">
                  <c:v>0.00023865356546937387</c:v>
                </c:pt>
                <c:pt idx="16">
                  <c:v>0.0004432792973804765</c:v>
                </c:pt>
                <c:pt idx="17">
                  <c:v>0.0007558853046769372</c:v>
                </c:pt>
                <c:pt idx="18">
                  <c:v>0.0013160673967123084</c:v>
                </c:pt>
                <c:pt idx="19">
                  <c:v>0.0020636766238302435</c:v>
                </c:pt>
                <c:pt idx="20">
                  <c:v>0.00296304225201392</c:v>
                </c:pt>
                <c:pt idx="21">
                  <c:v>0.003987567713722391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Req1!$C$118:$X$118</c:f>
              <c:numCache>
                <c:ptCount val="22"/>
                <c:pt idx="0">
                  <c:v>0.06480172056104029</c:v>
                </c:pt>
                <c:pt idx="1">
                  <c:v>0.06497443384599905</c:v>
                </c:pt>
                <c:pt idx="2">
                  <c:v>0.06484368585812823</c:v>
                </c:pt>
                <c:pt idx="3">
                  <c:v>0.0648728230731397</c:v>
                </c:pt>
                <c:pt idx="4">
                  <c:v>0.0647875127760583</c:v>
                </c:pt>
                <c:pt idx="5">
                  <c:v>0.06438538309010698</c:v>
                </c:pt>
                <c:pt idx="6">
                  <c:v>0.0641432893199879</c:v>
                </c:pt>
                <c:pt idx="7">
                  <c:v>0.06375921745428564</c:v>
                </c:pt>
                <c:pt idx="8">
                  <c:v>0.06298741249229539</c:v>
                </c:pt>
                <c:pt idx="9">
                  <c:v>0.06271546891630525</c:v>
                </c:pt>
                <c:pt idx="10">
                  <c:v>0.06238325162772079</c:v>
                </c:pt>
                <c:pt idx="11">
                  <c:v>0.06141466469273867</c:v>
                </c:pt>
                <c:pt idx="12">
                  <c:v>0.061030842434383725</c:v>
                </c:pt>
                <c:pt idx="13">
                  <c:v>0.059995007374090394</c:v>
                </c:pt>
                <c:pt idx="14">
                  <c:v>0.0592579025667808</c:v>
                </c:pt>
                <c:pt idx="15">
                  <c:v>0.05871090177398334</c:v>
                </c:pt>
                <c:pt idx="16">
                  <c:v>0.058040319677191504</c:v>
                </c:pt>
                <c:pt idx="17">
                  <c:v>0.057577552677157494</c:v>
                </c:pt>
                <c:pt idx="18">
                  <c:v>0.05707463042685303</c:v>
                </c:pt>
                <c:pt idx="19">
                  <c:v>0.0565872678788065</c:v>
                </c:pt>
                <c:pt idx="20">
                  <c:v>0.056534199427650034</c:v>
                </c:pt>
                <c:pt idx="21">
                  <c:v>0.05602233596858697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Req1!$C$119:$X$119</c:f>
              <c:numCache>
                <c:ptCount val="22"/>
                <c:pt idx="0">
                  <c:v>0.2976589484280721</c:v>
                </c:pt>
                <c:pt idx="1">
                  <c:v>0.2967724071447324</c:v>
                </c:pt>
                <c:pt idx="2">
                  <c:v>0.29656793230543677</c:v>
                </c:pt>
                <c:pt idx="3">
                  <c:v>0.2966721258001949</c:v>
                </c:pt>
                <c:pt idx="4">
                  <c:v>0.29673796934860097</c:v>
                </c:pt>
                <c:pt idx="5">
                  <c:v>0.2965721459518138</c:v>
                </c:pt>
                <c:pt idx="6">
                  <c:v>0.29596529485832296</c:v>
                </c:pt>
                <c:pt idx="7">
                  <c:v>0.29495590726112725</c:v>
                </c:pt>
                <c:pt idx="8">
                  <c:v>0.29416480442134574</c:v>
                </c:pt>
                <c:pt idx="9">
                  <c:v>0.2929908698797748</c:v>
                </c:pt>
                <c:pt idx="10">
                  <c:v>0.2919324253215972</c:v>
                </c:pt>
                <c:pt idx="11">
                  <c:v>0.2906040753889642</c:v>
                </c:pt>
                <c:pt idx="12">
                  <c:v>0.28921251081661253</c:v>
                </c:pt>
                <c:pt idx="13">
                  <c:v>0.28791630440876265</c:v>
                </c:pt>
                <c:pt idx="14">
                  <c:v>0.28405080331562155</c:v>
                </c:pt>
                <c:pt idx="15">
                  <c:v>0.28090007648724924</c:v>
                </c:pt>
                <c:pt idx="16">
                  <c:v>0.27819887082062905</c:v>
                </c:pt>
                <c:pt idx="17">
                  <c:v>0.2756538064874995</c:v>
                </c:pt>
                <c:pt idx="18">
                  <c:v>0.2732428153136846</c:v>
                </c:pt>
                <c:pt idx="19">
                  <c:v>0.27087705805125434</c:v>
                </c:pt>
                <c:pt idx="20">
                  <c:v>0.26689518198348894</c:v>
                </c:pt>
                <c:pt idx="21">
                  <c:v>0.26325605302207744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Req1!$C$120:$X$120</c:f>
              <c:numCache>
                <c:ptCount val="22"/>
                <c:pt idx="0">
                  <c:v>0.037014624351875094</c:v>
                </c:pt>
                <c:pt idx="1">
                  <c:v>0.03841339736681608</c:v>
                </c:pt>
                <c:pt idx="2">
                  <c:v>0.03977355703016583</c:v>
                </c:pt>
                <c:pt idx="3">
                  <c:v>0.040679705126113824</c:v>
                </c:pt>
                <c:pt idx="4">
                  <c:v>0.04137517122778409</c:v>
                </c:pt>
                <c:pt idx="5">
                  <c:v>0.04215083292479395</c:v>
                </c:pt>
                <c:pt idx="6">
                  <c:v>0.04295090068300634</c:v>
                </c:pt>
                <c:pt idx="7">
                  <c:v>0.044324850810306064</c:v>
                </c:pt>
                <c:pt idx="8">
                  <c:v>0.04573293887136556</c:v>
                </c:pt>
                <c:pt idx="9">
                  <c:v>0.0472561456453448</c:v>
                </c:pt>
                <c:pt idx="10">
                  <c:v>0.0487217735835664</c:v>
                </c:pt>
                <c:pt idx="11">
                  <c:v>0.05093982226918897</c:v>
                </c:pt>
                <c:pt idx="12">
                  <c:v>0.05315448861483781</c:v>
                </c:pt>
                <c:pt idx="13">
                  <c:v>0.055660980140787464</c:v>
                </c:pt>
                <c:pt idx="14">
                  <c:v>0.05875768722971033</c:v>
                </c:pt>
                <c:pt idx="15">
                  <c:v>0.06164907003305569</c:v>
                </c:pt>
                <c:pt idx="16">
                  <c:v>0.06553539300577793</c:v>
                </c:pt>
                <c:pt idx="17">
                  <c:v>0.06910856345204518</c:v>
                </c:pt>
                <c:pt idx="18">
                  <c:v>0.07340048654756447</c:v>
                </c:pt>
                <c:pt idx="19">
                  <c:v>0.07752360237862653</c:v>
                </c:pt>
                <c:pt idx="20">
                  <c:v>0.08176328178773166</c:v>
                </c:pt>
                <c:pt idx="21">
                  <c:v>0.08641779606667241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Req1!$C$121:$X$121</c:f>
              <c:numCache>
                <c:ptCount val="22"/>
                <c:pt idx="0">
                  <c:v>0.0053234598208198695</c:v>
                </c:pt>
                <c:pt idx="1">
                  <c:v>0.0082440833851688</c:v>
                </c:pt>
                <c:pt idx="2">
                  <c:v>0.011334989520160753</c:v>
                </c:pt>
                <c:pt idx="3">
                  <c:v>0.014576691905572384</c:v>
                </c:pt>
                <c:pt idx="4">
                  <c:v>0.017887702609090946</c:v>
                </c:pt>
                <c:pt idx="5">
                  <c:v>0.021454539411800373</c:v>
                </c:pt>
                <c:pt idx="6">
                  <c:v>0.025224734909435418</c:v>
                </c:pt>
                <c:pt idx="7">
                  <c:v>0.029167440588359787</c:v>
                </c:pt>
                <c:pt idx="8">
                  <c:v>0.03341177171030081</c:v>
                </c:pt>
                <c:pt idx="9">
                  <c:v>0.03746823970931821</c:v>
                </c:pt>
                <c:pt idx="10">
                  <c:v>0.040881870708885985</c:v>
                </c:pt>
                <c:pt idx="11">
                  <c:v>0.044080024949493396</c:v>
                </c:pt>
                <c:pt idx="12">
                  <c:v>0.04681727203716139</c:v>
                </c:pt>
                <c:pt idx="13">
                  <c:v>0.04894843960325448</c:v>
                </c:pt>
                <c:pt idx="14">
                  <c:v>0.05121356704499016</c:v>
                </c:pt>
                <c:pt idx="15">
                  <c:v>0.05302422997241298</c:v>
                </c:pt>
                <c:pt idx="16">
                  <c:v>0.055201426352757064</c:v>
                </c:pt>
                <c:pt idx="17">
                  <c:v>0.05682567276683114</c:v>
                </c:pt>
                <c:pt idx="18">
                  <c:v>0.05827975935714592</c:v>
                </c:pt>
                <c:pt idx="19">
                  <c:v>0.059578394220884456</c:v>
                </c:pt>
                <c:pt idx="20">
                  <c:v>0.0607198021900101</c:v>
                </c:pt>
                <c:pt idx="21">
                  <c:v>0.061604347587099914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Req1!$C$122:$X$122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0.0001242769439522868</c:v>
                </c:pt>
                <c:pt idx="10">
                  <c:v>0.0008489634095396078</c:v>
                </c:pt>
                <c:pt idx="11">
                  <c:v>0.0026987575886701677</c:v>
                </c:pt>
                <c:pt idx="12">
                  <c:v>0.004727029994615</c:v>
                </c:pt>
                <c:pt idx="13">
                  <c:v>0.00827363421719569</c:v>
                </c:pt>
                <c:pt idx="14">
                  <c:v>0.011880309612214202</c:v>
                </c:pt>
                <c:pt idx="15">
                  <c:v>0.015431562807701077</c:v>
                </c:pt>
                <c:pt idx="16">
                  <c:v>0.019565142119823378</c:v>
                </c:pt>
                <c:pt idx="17">
                  <c:v>0.024020323890210606</c:v>
                </c:pt>
                <c:pt idx="18">
                  <c:v>0.028488576604990455</c:v>
                </c:pt>
                <c:pt idx="19">
                  <c:v>0.03327958646547745</c:v>
                </c:pt>
                <c:pt idx="20">
                  <c:v>0.0386565054756716</c:v>
                </c:pt>
                <c:pt idx="21">
                  <c:v>0.044263813542685986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Req1!$C$123:$X$123</c:f>
              <c:numCache>
                <c:ptCount val="22"/>
                <c:pt idx="0">
                  <c:v>0.0012674418270957307</c:v>
                </c:pt>
                <c:pt idx="1">
                  <c:v>0.0011911481385433794</c:v>
                </c:pt>
                <c:pt idx="2">
                  <c:v>0.0011821911326233463</c:v>
                </c:pt>
                <c:pt idx="3">
                  <c:v>0.0011582647567223315</c:v>
                </c:pt>
                <c:pt idx="4">
                  <c:v>0.0011566289819956164</c:v>
                </c:pt>
                <c:pt idx="5">
                  <c:v>0.0011298151474005039</c:v>
                </c:pt>
                <c:pt idx="6">
                  <c:v>0.0011481373664712286</c:v>
                </c:pt>
                <c:pt idx="7">
                  <c:v>0.0011547175070659276</c:v>
                </c:pt>
                <c:pt idx="8">
                  <c:v>0.0011520736954746939</c:v>
                </c:pt>
                <c:pt idx="9">
                  <c:v>0.0011800929388147243</c:v>
                </c:pt>
                <c:pt idx="10">
                  <c:v>0.0011673877913252096</c:v>
                </c:pt>
                <c:pt idx="11">
                  <c:v>0.001158799519817404</c:v>
                </c:pt>
                <c:pt idx="12">
                  <c:v>0.0011591008351508844</c:v>
                </c:pt>
                <c:pt idx="13">
                  <c:v>0.001158465547280074</c:v>
                </c:pt>
                <c:pt idx="14">
                  <c:v>0.00117619913922032</c:v>
                </c:pt>
                <c:pt idx="15">
                  <c:v>0.0011652599691699345</c:v>
                </c:pt>
                <c:pt idx="16">
                  <c:v>0.0011598993268479188</c:v>
                </c:pt>
                <c:pt idx="17">
                  <c:v>0.0011733481705512281</c:v>
                </c:pt>
                <c:pt idx="18">
                  <c:v>0.0011653304847775478</c:v>
                </c:pt>
                <c:pt idx="19">
                  <c:v>0.001181245953909095</c:v>
                </c:pt>
                <c:pt idx="20">
                  <c:v>0.0011849459449792775</c:v>
                </c:pt>
                <c:pt idx="21">
                  <c:v>0.0011844863567309117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Req1!$C$124:$X$124</c:f>
              <c:numCache>
                <c:ptCount val="22"/>
                <c:pt idx="0">
                  <c:v>0.10006474037147305</c:v>
                </c:pt>
                <c:pt idx="1">
                  <c:v>0.09914166075539836</c:v>
                </c:pt>
                <c:pt idx="2">
                  <c:v>0.09853171285776158</c:v>
                </c:pt>
                <c:pt idx="3">
                  <c:v>0.09758586005749162</c:v>
                </c:pt>
                <c:pt idx="4">
                  <c:v>0.09711431216428942</c:v>
                </c:pt>
                <c:pt idx="5">
                  <c:v>0.09649864073213953</c:v>
                </c:pt>
                <c:pt idx="6">
                  <c:v>0.0960579835456422</c:v>
                </c:pt>
                <c:pt idx="7">
                  <c:v>0.09547941337351318</c:v>
                </c:pt>
                <c:pt idx="8">
                  <c:v>0.0948041939547658</c:v>
                </c:pt>
                <c:pt idx="9">
                  <c:v>0.09421914812839717</c:v>
                </c:pt>
                <c:pt idx="10">
                  <c:v>0.09336606669640689</c:v>
                </c:pt>
                <c:pt idx="11">
                  <c:v>0.09279469840421983</c:v>
                </c:pt>
                <c:pt idx="12">
                  <c:v>0.09178707048850407</c:v>
                </c:pt>
                <c:pt idx="13">
                  <c:v>0.09043975298317034</c:v>
                </c:pt>
                <c:pt idx="14">
                  <c:v>0.08900767562729835</c:v>
                </c:pt>
                <c:pt idx="15">
                  <c:v>0.0876216480393274</c:v>
                </c:pt>
                <c:pt idx="16">
                  <c:v>0.08609823688072447</c:v>
                </c:pt>
                <c:pt idx="17">
                  <c:v>0.08466972026928629</c:v>
                </c:pt>
                <c:pt idx="18">
                  <c:v>0.08305530515116037</c:v>
                </c:pt>
                <c:pt idx="19">
                  <c:v>0.08130341888991278</c:v>
                </c:pt>
                <c:pt idx="20">
                  <c:v>0.07966778685672378</c:v>
                </c:pt>
                <c:pt idx="21">
                  <c:v>0.07803085093050822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Req1!$C$125:$X$125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1.732443195105361E-05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Req1!$C$127:$X$127</c:f>
              <c:numCache>
                <c:ptCount val="22"/>
                <c:pt idx="0">
                  <c:v>0.4938690646396238</c:v>
                </c:pt>
                <c:pt idx="1">
                  <c:v>0.4912628693633419</c:v>
                </c:pt>
                <c:pt idx="2">
                  <c:v>0.48776593129572327</c:v>
                </c:pt>
                <c:pt idx="3">
                  <c:v>0.48445452928076504</c:v>
                </c:pt>
                <c:pt idx="4">
                  <c:v>0.4809407028921807</c:v>
                </c:pt>
                <c:pt idx="5">
                  <c:v>0.4778086427419448</c:v>
                </c:pt>
                <c:pt idx="6">
                  <c:v>0.47450965931713385</c:v>
                </c:pt>
                <c:pt idx="7">
                  <c:v>0.4711584530053421</c:v>
                </c:pt>
                <c:pt idx="8">
                  <c:v>0.46774680485445214</c:v>
                </c:pt>
                <c:pt idx="9">
                  <c:v>0.46404575783809277</c:v>
                </c:pt>
                <c:pt idx="10">
                  <c:v>0.46069826086095794</c:v>
                </c:pt>
                <c:pt idx="11">
                  <c:v>0.4563091571869073</c:v>
                </c:pt>
                <c:pt idx="12">
                  <c:v>0.4521116847787346</c:v>
                </c:pt>
                <c:pt idx="13">
                  <c:v>0.447607415725459</c:v>
                </c:pt>
                <c:pt idx="14">
                  <c:v>0.4446558554641645</c:v>
                </c:pt>
                <c:pt idx="15">
                  <c:v>0.44149725091710035</c:v>
                </c:pt>
                <c:pt idx="16">
                  <c:v>0.4362007118162486</c:v>
                </c:pt>
                <c:pt idx="17">
                  <c:v>0.4309710122864186</c:v>
                </c:pt>
                <c:pt idx="18">
                  <c:v>0.42529309611382377</c:v>
                </c:pt>
                <c:pt idx="19">
                  <c:v>0.4196694261611288</c:v>
                </c:pt>
                <c:pt idx="20">
                  <c:v>0.4145782963337447</c:v>
                </c:pt>
                <c:pt idx="21">
                  <c:v>0.40920299209368705</c:v>
                </c:pt>
              </c:numCache>
            </c:numRef>
          </c:val>
          <c:smooth val="0"/>
        </c:ser>
        <c:marker val="1"/>
        <c:axId val="44114651"/>
        <c:axId val="61487540"/>
      </c:lineChart>
      <c:dateAx>
        <c:axId val="4411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0"/>
        <c:noMultiLvlLbl val="0"/>
      </c:dateAx>
      <c:valAx>
        <c:axId val="6148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42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Req2!$C$115:$AI$115</c:f>
              <c:numCache>
                <c:ptCount val="33"/>
                <c:pt idx="0">
                  <c:v>0.13934948979591838</c:v>
                </c:pt>
                <c:pt idx="1">
                  <c:v>0.1442740380200202</c:v>
                </c:pt>
                <c:pt idx="2">
                  <c:v>0.13786782440906897</c:v>
                </c:pt>
                <c:pt idx="3">
                  <c:v>0.14198191189341633</c:v>
                </c:pt>
                <c:pt idx="4">
                  <c:v>0.13553671778264598</c:v>
                </c:pt>
                <c:pt idx="5">
                  <c:v>0.13708690330477355</c:v>
                </c:pt>
                <c:pt idx="6">
                  <c:v>0.13717421124828533</c:v>
                </c:pt>
                <c:pt idx="7">
                  <c:v>0.1360544217687075</c:v>
                </c:pt>
                <c:pt idx="8">
                  <c:v>0.13445075245561863</c:v>
                </c:pt>
                <c:pt idx="9">
                  <c:v>0.13164868445958736</c:v>
                </c:pt>
                <c:pt idx="10">
                  <c:v>0.13216747940137885</c:v>
                </c:pt>
                <c:pt idx="11">
                  <c:v>0.1309843303610077</c:v>
                </c:pt>
                <c:pt idx="12">
                  <c:v>0.13439522150323543</c:v>
                </c:pt>
                <c:pt idx="13">
                  <c:v>0.13336744265370512</c:v>
                </c:pt>
                <c:pt idx="14">
                  <c:v>0.13662790697674418</c:v>
                </c:pt>
                <c:pt idx="15">
                  <c:v>0.14330695259977874</c:v>
                </c:pt>
                <c:pt idx="16">
                  <c:v>0.1432676865860874</c:v>
                </c:pt>
                <c:pt idx="17">
                  <c:v>0.1500042542329618</c:v>
                </c:pt>
                <c:pt idx="18">
                  <c:v>0.14843101444462892</c:v>
                </c:pt>
                <c:pt idx="19">
                  <c:v>0.15202345085905056</c:v>
                </c:pt>
                <c:pt idx="20">
                  <c:v>0.15050305129473857</c:v>
                </c:pt>
                <c:pt idx="21">
                  <c:v>0.1477512446207071</c:v>
                </c:pt>
                <c:pt idx="22">
                  <c:v>0.150625</c:v>
                </c:pt>
                <c:pt idx="23">
                  <c:v>0.15093056853913486</c:v>
                </c:pt>
                <c:pt idx="24">
                  <c:v>0.15182344654875568</c:v>
                </c:pt>
                <c:pt idx="25">
                  <c:v>0.14587332053742802</c:v>
                </c:pt>
                <c:pt idx="26">
                  <c:v>0.14875100725221596</c:v>
                </c:pt>
                <c:pt idx="27">
                  <c:v>0.14492193538413975</c:v>
                </c:pt>
                <c:pt idx="28">
                  <c:v>0.15074056378404205</c:v>
                </c:pt>
                <c:pt idx="29">
                  <c:v>0.15076010381905822</c:v>
                </c:pt>
                <c:pt idx="30">
                  <c:v>0.14991952172913314</c:v>
                </c:pt>
                <c:pt idx="31">
                  <c:v>0.14986290638464553</c:v>
                </c:pt>
                <c:pt idx="32">
                  <c:v>0.15158273381294965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Req2!$C$116:$AI$116</c:f>
              <c:numCache>
                <c:ptCount val="33"/>
                <c:pt idx="0">
                  <c:v>0.2967687074829932</c:v>
                </c:pt>
                <c:pt idx="1">
                  <c:v>0.2933235375149233</c:v>
                </c:pt>
                <c:pt idx="2">
                  <c:v>0.2955137481910275</c:v>
                </c:pt>
                <c:pt idx="3">
                  <c:v>0.2948555868909851</c:v>
                </c:pt>
                <c:pt idx="4">
                  <c:v>0.29602819316125345</c:v>
                </c:pt>
                <c:pt idx="5">
                  <c:v>0.30204312211656154</c:v>
                </c:pt>
                <c:pt idx="6">
                  <c:v>0.29565614997713763</c:v>
                </c:pt>
                <c:pt idx="7">
                  <c:v>0.29403866809881846</c:v>
                </c:pt>
                <c:pt idx="8">
                  <c:v>0.30224384968910517</c:v>
                </c:pt>
                <c:pt idx="9">
                  <c:v>0.29575998485708876</c:v>
                </c:pt>
                <c:pt idx="10">
                  <c:v>0.29670422061543633</c:v>
                </c:pt>
                <c:pt idx="11">
                  <c:v>0.30187862522725306</c:v>
                </c:pt>
                <c:pt idx="12">
                  <c:v>0.29052596648415463</c:v>
                </c:pt>
                <c:pt idx="13">
                  <c:v>0.2888206702481453</c:v>
                </c:pt>
                <c:pt idx="14">
                  <c:v>0.2878787878787879</c:v>
                </c:pt>
                <c:pt idx="15">
                  <c:v>0.28644370691856014</c:v>
                </c:pt>
                <c:pt idx="16">
                  <c:v>0.2839996619051644</c:v>
                </c:pt>
                <c:pt idx="17">
                  <c:v>0.2795031055900621</c:v>
                </c:pt>
                <c:pt idx="18">
                  <c:v>0.2761912668105595</c:v>
                </c:pt>
                <c:pt idx="19">
                  <c:v>0.2775832586922889</c:v>
                </c:pt>
                <c:pt idx="20">
                  <c:v>0.2779976909120897</c:v>
                </c:pt>
                <c:pt idx="21">
                  <c:v>0.27381655556493123</c:v>
                </c:pt>
                <c:pt idx="22">
                  <c:v>0.265625</c:v>
                </c:pt>
                <c:pt idx="23">
                  <c:v>0.26752783207274583</c:v>
                </c:pt>
                <c:pt idx="24">
                  <c:v>0.2555172953513852</c:v>
                </c:pt>
                <c:pt idx="25">
                  <c:v>0.25573896353166986</c:v>
                </c:pt>
                <c:pt idx="26">
                  <c:v>0.2539887187751813</c:v>
                </c:pt>
                <c:pt idx="27">
                  <c:v>0.25599010666254446</c:v>
                </c:pt>
                <c:pt idx="28">
                  <c:v>0.2534639273769709</c:v>
                </c:pt>
                <c:pt idx="29">
                  <c:v>0.250055617352614</c:v>
                </c:pt>
                <c:pt idx="30">
                  <c:v>0.24932934774277613</c:v>
                </c:pt>
                <c:pt idx="31">
                  <c:v>0.24575009792401098</c:v>
                </c:pt>
                <c:pt idx="32">
                  <c:v>0.24676258992805755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0.0007677543186180423</c:v>
                </c:pt>
                <c:pt idx="26">
                  <c:v>0.0012892828364222402</c:v>
                </c:pt>
                <c:pt idx="27">
                  <c:v>0.0014685422785592828</c:v>
                </c:pt>
                <c:pt idx="28">
                  <c:v>0.0027074374900461855</c:v>
                </c:pt>
                <c:pt idx="29">
                  <c:v>0.0043752317389692255</c:v>
                </c:pt>
                <c:pt idx="30">
                  <c:v>0.005978385835824327</c:v>
                </c:pt>
                <c:pt idx="31">
                  <c:v>0.007442224833529181</c:v>
                </c:pt>
                <c:pt idx="32">
                  <c:v>0.008057553956834532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Req2!$C$118:$AI$118</c:f>
              <c:numCache>
                <c:ptCount val="33"/>
                <c:pt idx="0">
                  <c:v>0.0665391156462585</c:v>
                </c:pt>
                <c:pt idx="1">
                  <c:v>0.06538708788685829</c:v>
                </c:pt>
                <c:pt idx="2">
                  <c:v>0.062325132657983597</c:v>
                </c:pt>
                <c:pt idx="3">
                  <c:v>0.06389186035203734</c:v>
                </c:pt>
                <c:pt idx="4">
                  <c:v>0.06524430898180779</c:v>
                </c:pt>
                <c:pt idx="5">
                  <c:v>0.0659071650503719</c:v>
                </c:pt>
                <c:pt idx="6">
                  <c:v>0.06639231824417009</c:v>
                </c:pt>
                <c:pt idx="7">
                  <c:v>0.0688327962764053</c:v>
                </c:pt>
                <c:pt idx="8">
                  <c:v>0.06641434621969902</c:v>
                </c:pt>
                <c:pt idx="9">
                  <c:v>0.0668180957789135</c:v>
                </c:pt>
                <c:pt idx="10">
                  <c:v>0.06742895577602152</c:v>
                </c:pt>
                <c:pt idx="11">
                  <c:v>0.06484287074712146</c:v>
                </c:pt>
                <c:pt idx="12">
                  <c:v>0.06893977103036336</c:v>
                </c:pt>
                <c:pt idx="13">
                  <c:v>0.06506352860919246</c:v>
                </c:pt>
                <c:pt idx="14">
                  <c:v>0.0636892177589852</c:v>
                </c:pt>
                <c:pt idx="15">
                  <c:v>0.06373925623351204</c:v>
                </c:pt>
                <c:pt idx="16">
                  <c:v>0.06271659200405713</c:v>
                </c:pt>
                <c:pt idx="17">
                  <c:v>0.0622819705607079</c:v>
                </c:pt>
                <c:pt idx="18">
                  <c:v>0.0626764071060933</c:v>
                </c:pt>
                <c:pt idx="19">
                  <c:v>0.06017425291100073</c:v>
                </c:pt>
                <c:pt idx="20">
                  <c:v>0.06185056902523503</c:v>
                </c:pt>
                <c:pt idx="21">
                  <c:v>0.06193570162855455</c:v>
                </c:pt>
                <c:pt idx="22">
                  <c:v>0.058203125</c:v>
                </c:pt>
                <c:pt idx="23">
                  <c:v>0.05804368148211099</c:v>
                </c:pt>
                <c:pt idx="24">
                  <c:v>0.05712944122710909</c:v>
                </c:pt>
                <c:pt idx="25">
                  <c:v>0.05527831094049904</c:v>
                </c:pt>
                <c:pt idx="26">
                  <c:v>0.05414987912973408</c:v>
                </c:pt>
                <c:pt idx="27">
                  <c:v>0.05348585561910651</c:v>
                </c:pt>
                <c:pt idx="28">
                  <c:v>0.052954292084726864</c:v>
                </c:pt>
                <c:pt idx="29">
                  <c:v>0.053763440860215055</c:v>
                </c:pt>
                <c:pt idx="30">
                  <c:v>0.051046217521269255</c:v>
                </c:pt>
                <c:pt idx="31">
                  <c:v>0.050763807285546414</c:v>
                </c:pt>
                <c:pt idx="32">
                  <c:v>0.04870503597122302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Req2!$C$119:$AI$119</c:f>
              <c:numCache>
                <c:ptCount val="33"/>
                <c:pt idx="0">
                  <c:v>0.21141581632653061</c:v>
                </c:pt>
                <c:pt idx="1">
                  <c:v>0.2094774543116907</c:v>
                </c:pt>
                <c:pt idx="2">
                  <c:v>0.20598166907863</c:v>
                </c:pt>
                <c:pt idx="3">
                  <c:v>0.20762423417290674</c:v>
                </c:pt>
                <c:pt idx="4">
                  <c:v>0.20897228307457852</c:v>
                </c:pt>
                <c:pt idx="5">
                  <c:v>0.20958478486018264</c:v>
                </c:pt>
                <c:pt idx="6">
                  <c:v>0.21335162322816645</c:v>
                </c:pt>
                <c:pt idx="7">
                  <c:v>0.21303258145363407</c:v>
                </c:pt>
                <c:pt idx="8">
                  <c:v>0.21276020546093538</c:v>
                </c:pt>
                <c:pt idx="9">
                  <c:v>0.21275790270679537</c:v>
                </c:pt>
                <c:pt idx="10">
                  <c:v>0.2133848999495544</c:v>
                </c:pt>
                <c:pt idx="11">
                  <c:v>0.20924595273136526</c:v>
                </c:pt>
                <c:pt idx="12">
                  <c:v>0.2108843537414966</c:v>
                </c:pt>
                <c:pt idx="13">
                  <c:v>0.21284215911997953</c:v>
                </c:pt>
                <c:pt idx="14">
                  <c:v>0.21053558844256517</c:v>
                </c:pt>
                <c:pt idx="15">
                  <c:v>0.20730150625478683</c:v>
                </c:pt>
                <c:pt idx="16">
                  <c:v>0.20953427436395908</c:v>
                </c:pt>
                <c:pt idx="17">
                  <c:v>0.2056496213732664</c:v>
                </c:pt>
                <c:pt idx="18">
                  <c:v>0.20654159056948365</c:v>
                </c:pt>
                <c:pt idx="19">
                  <c:v>0.2047064571288983</c:v>
                </c:pt>
                <c:pt idx="20">
                  <c:v>0.20155038759689922</c:v>
                </c:pt>
                <c:pt idx="21">
                  <c:v>0.20318960425280566</c:v>
                </c:pt>
                <c:pt idx="22">
                  <c:v>0.1975</c:v>
                </c:pt>
                <c:pt idx="23">
                  <c:v>0.1948670009348177</c:v>
                </c:pt>
                <c:pt idx="24">
                  <c:v>0.19690092346220064</c:v>
                </c:pt>
                <c:pt idx="25">
                  <c:v>0.1909404990403071</c:v>
                </c:pt>
                <c:pt idx="26">
                  <c:v>0.19073327961321515</c:v>
                </c:pt>
                <c:pt idx="27">
                  <c:v>0.18944195393414748</c:v>
                </c:pt>
                <c:pt idx="28">
                  <c:v>0.1884854276158624</c:v>
                </c:pt>
                <c:pt idx="29">
                  <c:v>0.18375973303670745</c:v>
                </c:pt>
                <c:pt idx="30">
                  <c:v>0.18563654479957079</c:v>
                </c:pt>
                <c:pt idx="31">
                  <c:v>0.18409714061887975</c:v>
                </c:pt>
                <c:pt idx="32">
                  <c:v>0.18035971223021582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Req2!$C$120:$AI$120</c:f>
              <c:numCache>
                <c:ptCount val="33"/>
                <c:pt idx="0">
                  <c:v>0.022002551020408163</c:v>
                </c:pt>
                <c:pt idx="1">
                  <c:v>0.02791808246854624</c:v>
                </c:pt>
                <c:pt idx="2">
                  <c:v>0.030776652194886636</c:v>
                </c:pt>
                <c:pt idx="3">
                  <c:v>0.0336477681610425</c:v>
                </c:pt>
                <c:pt idx="4">
                  <c:v>0.03600342889799028</c:v>
                </c:pt>
                <c:pt idx="5">
                  <c:v>0.032388663967611336</c:v>
                </c:pt>
                <c:pt idx="6">
                  <c:v>0.0299039780521262</c:v>
                </c:pt>
                <c:pt idx="7">
                  <c:v>0.030612244897959183</c:v>
                </c:pt>
                <c:pt idx="8">
                  <c:v>0.029737766964044336</c:v>
                </c:pt>
                <c:pt idx="9">
                  <c:v>0.033503691084611015</c:v>
                </c:pt>
                <c:pt idx="10">
                  <c:v>0.03371447788801076</c:v>
                </c:pt>
                <c:pt idx="11">
                  <c:v>0.0341961734914726</c:v>
                </c:pt>
                <c:pt idx="12">
                  <c:v>0.03650240584038494</c:v>
                </c:pt>
                <c:pt idx="13">
                  <c:v>0.039566811631278245</c:v>
                </c:pt>
                <c:pt idx="14">
                  <c:v>0.040697674418604654</c:v>
                </c:pt>
                <c:pt idx="15">
                  <c:v>0.03974129861288401</c:v>
                </c:pt>
                <c:pt idx="16">
                  <c:v>0.04074042768996704</c:v>
                </c:pt>
                <c:pt idx="17">
                  <c:v>0.04007487450012763</c:v>
                </c:pt>
                <c:pt idx="18">
                  <c:v>0.04142453926614644</c:v>
                </c:pt>
                <c:pt idx="19">
                  <c:v>0.04348180115625763</c:v>
                </c:pt>
                <c:pt idx="20">
                  <c:v>0.04387267029523338</c:v>
                </c:pt>
                <c:pt idx="21">
                  <c:v>0.05130368745253565</c:v>
                </c:pt>
                <c:pt idx="22">
                  <c:v>0.058984375</c:v>
                </c:pt>
                <c:pt idx="23">
                  <c:v>0.06407750488654712</c:v>
                </c:pt>
                <c:pt idx="24">
                  <c:v>0.07145093128815151</c:v>
                </c:pt>
                <c:pt idx="25">
                  <c:v>0.07930902111324377</c:v>
                </c:pt>
                <c:pt idx="26">
                  <c:v>0.08058017727639001</c:v>
                </c:pt>
                <c:pt idx="27">
                  <c:v>0.08540732725305303</c:v>
                </c:pt>
                <c:pt idx="28">
                  <c:v>0.0864787386526517</c:v>
                </c:pt>
                <c:pt idx="29">
                  <c:v>0.08898776418242492</c:v>
                </c:pt>
                <c:pt idx="30">
                  <c:v>0.09327814823331033</c:v>
                </c:pt>
                <c:pt idx="31">
                  <c:v>0.09439874657265962</c:v>
                </c:pt>
                <c:pt idx="32">
                  <c:v>0.0974820143884892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0.0020726322429485446</c:v>
                </c:pt>
                <c:pt idx="9">
                  <c:v>0.005867878099564641</c:v>
                </c:pt>
                <c:pt idx="10">
                  <c:v>0.01101395661678157</c:v>
                </c:pt>
                <c:pt idx="11">
                  <c:v>0.013765041987706693</c:v>
                </c:pt>
                <c:pt idx="12">
                  <c:v>0.01833416293346607</c:v>
                </c:pt>
                <c:pt idx="13">
                  <c:v>0.01927176601006225</c:v>
                </c:pt>
                <c:pt idx="14">
                  <c:v>0.021670190274841437</c:v>
                </c:pt>
                <c:pt idx="15">
                  <c:v>0.02118968598417156</c:v>
                </c:pt>
                <c:pt idx="16">
                  <c:v>0.022314259149691488</c:v>
                </c:pt>
                <c:pt idx="17">
                  <c:v>0.02501488981536629</c:v>
                </c:pt>
                <c:pt idx="18">
                  <c:v>0.025402623277436493</c:v>
                </c:pt>
                <c:pt idx="19">
                  <c:v>0.02646364302581223</c:v>
                </c:pt>
                <c:pt idx="20">
                  <c:v>0.027956457199406235</c:v>
                </c:pt>
                <c:pt idx="21">
                  <c:v>0.029533372711163616</c:v>
                </c:pt>
                <c:pt idx="22">
                  <c:v>0.02953125</c:v>
                </c:pt>
                <c:pt idx="23">
                  <c:v>0.030933967876264127</c:v>
                </c:pt>
                <c:pt idx="24">
                  <c:v>0.030755986852402568</c:v>
                </c:pt>
                <c:pt idx="25">
                  <c:v>0.03147792706333973</c:v>
                </c:pt>
                <c:pt idx="26">
                  <c:v>0.03166800966962127</c:v>
                </c:pt>
                <c:pt idx="27">
                  <c:v>0.03168959653733189</c:v>
                </c:pt>
                <c:pt idx="28">
                  <c:v>0.030418856505813028</c:v>
                </c:pt>
                <c:pt idx="29">
                  <c:v>0.029514275120504262</c:v>
                </c:pt>
                <c:pt idx="30">
                  <c:v>0.03058174292940906</c:v>
                </c:pt>
                <c:pt idx="31">
                  <c:v>0.03008225616921269</c:v>
                </c:pt>
                <c:pt idx="32">
                  <c:v>0.031007194244604318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0.0006597394029358403</c:v>
                </c:pt>
                <c:pt idx="21">
                  <c:v>0.0031220994008944393</c:v>
                </c:pt>
                <c:pt idx="22">
                  <c:v>0.007265625</c:v>
                </c:pt>
                <c:pt idx="23">
                  <c:v>0.009433160533695929</c:v>
                </c:pt>
                <c:pt idx="24">
                  <c:v>0.014634528095163562</c:v>
                </c:pt>
                <c:pt idx="25">
                  <c:v>0.015201535508637237</c:v>
                </c:pt>
                <c:pt idx="26">
                  <c:v>0.015874294923448832</c:v>
                </c:pt>
                <c:pt idx="27">
                  <c:v>0.017313340547225227</c:v>
                </c:pt>
                <c:pt idx="28">
                  <c:v>0.019748367574454532</c:v>
                </c:pt>
                <c:pt idx="29">
                  <c:v>0.01839080459770115</c:v>
                </c:pt>
                <c:pt idx="30">
                  <c:v>0.02000459875833525</c:v>
                </c:pt>
                <c:pt idx="31">
                  <c:v>0.022169996083039562</c:v>
                </c:pt>
                <c:pt idx="32">
                  <c:v>0.022589928057553957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Req2!$C$123:$AI$123</c:f>
              <c:numCache>
                <c:ptCount val="33"/>
                <c:pt idx="0">
                  <c:v>0.004145408163265306</c:v>
                </c:pt>
                <c:pt idx="1">
                  <c:v>0.0024795665350353566</c:v>
                </c:pt>
                <c:pt idx="2">
                  <c:v>0.002894356005788712</c:v>
                </c:pt>
                <c:pt idx="3">
                  <c:v>0.0029174365457551297</c:v>
                </c:pt>
                <c:pt idx="4">
                  <c:v>0.0026669206591103914</c:v>
                </c:pt>
                <c:pt idx="5">
                  <c:v>0.0025421335090857733</c:v>
                </c:pt>
                <c:pt idx="6">
                  <c:v>0.0021947873799725653</c:v>
                </c:pt>
                <c:pt idx="7">
                  <c:v>0.0025957751521661298</c:v>
                </c:pt>
                <c:pt idx="8">
                  <c:v>0.0021627466882941336</c:v>
                </c:pt>
                <c:pt idx="9">
                  <c:v>0.00236607987885671</c:v>
                </c:pt>
                <c:pt idx="10">
                  <c:v>0.002522280141247688</c:v>
                </c:pt>
                <c:pt idx="11">
                  <c:v>0.0025106051424119125</c:v>
                </c:pt>
                <c:pt idx="12">
                  <c:v>0.002239920358387257</c:v>
                </c:pt>
                <c:pt idx="13">
                  <c:v>0.0023023791250959325</c:v>
                </c:pt>
                <c:pt idx="14">
                  <c:v>0.002642706131078224</c:v>
                </c:pt>
                <c:pt idx="15">
                  <c:v>0.0027231724959577907</c:v>
                </c:pt>
                <c:pt idx="16">
                  <c:v>0.002028569013608317</c:v>
                </c:pt>
                <c:pt idx="17">
                  <c:v>0.0027227090955500724</c:v>
                </c:pt>
                <c:pt idx="18">
                  <c:v>0.0024074381537439815</c:v>
                </c:pt>
                <c:pt idx="19">
                  <c:v>0.0024427978177672827</c:v>
                </c:pt>
                <c:pt idx="20">
                  <c:v>0.002638957611743361</c:v>
                </c:pt>
                <c:pt idx="21">
                  <c:v>0.0021095266222259726</c:v>
                </c:pt>
                <c:pt idx="22">
                  <c:v>0.00265625</c:v>
                </c:pt>
                <c:pt idx="23">
                  <c:v>0.002379535990481856</c:v>
                </c:pt>
                <c:pt idx="24">
                  <c:v>0.0021130067303177335</c:v>
                </c:pt>
                <c:pt idx="25">
                  <c:v>0.002687140115163148</c:v>
                </c:pt>
                <c:pt idx="26">
                  <c:v>0.0022562449637389204</c:v>
                </c:pt>
                <c:pt idx="27">
                  <c:v>0.002473334363889318</c:v>
                </c:pt>
                <c:pt idx="28">
                  <c:v>0.002229654403567447</c:v>
                </c:pt>
                <c:pt idx="29">
                  <c:v>0.002521319985168706</c:v>
                </c:pt>
                <c:pt idx="30">
                  <c:v>0.0027592550011496897</c:v>
                </c:pt>
                <c:pt idx="31">
                  <c:v>0.0023501762632197414</c:v>
                </c:pt>
                <c:pt idx="32">
                  <c:v>0.002517985611510791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Req2!$C$124:$AI$124</c:f>
              <c:numCache>
                <c:ptCount val="33"/>
                <c:pt idx="0">
                  <c:v>0.25977891156462585</c:v>
                </c:pt>
                <c:pt idx="1">
                  <c:v>0.2571402332629259</c:v>
                </c:pt>
                <c:pt idx="2">
                  <c:v>0.2646406174626146</c:v>
                </c:pt>
                <c:pt idx="3">
                  <c:v>0.25508120198385686</c:v>
                </c:pt>
                <c:pt idx="4">
                  <c:v>0.25554814744261356</c:v>
                </c:pt>
                <c:pt idx="5">
                  <c:v>0.2504472271914132</c:v>
                </c:pt>
                <c:pt idx="6">
                  <c:v>0.25532693187014177</c:v>
                </c:pt>
                <c:pt idx="7">
                  <c:v>0.25483351235230933</c:v>
                </c:pt>
                <c:pt idx="8">
                  <c:v>0.2501577002793548</c:v>
                </c:pt>
                <c:pt idx="9">
                  <c:v>0.2512776831345826</c:v>
                </c:pt>
                <c:pt idx="10">
                  <c:v>0.24306372961156886</c:v>
                </c:pt>
                <c:pt idx="11">
                  <c:v>0.24257640031166133</c:v>
                </c:pt>
                <c:pt idx="12">
                  <c:v>0.2381781981085117</c:v>
                </c:pt>
                <c:pt idx="13">
                  <c:v>0.23876524260254114</c:v>
                </c:pt>
                <c:pt idx="14">
                  <c:v>0.23625792811839325</c:v>
                </c:pt>
                <c:pt idx="15">
                  <c:v>0.2355544209003489</c:v>
                </c:pt>
                <c:pt idx="16">
                  <c:v>0.23539852928746513</c:v>
                </c:pt>
                <c:pt idx="17">
                  <c:v>0.2347485748319578</c:v>
                </c:pt>
                <c:pt idx="18">
                  <c:v>0.2369251203719077</c:v>
                </c:pt>
                <c:pt idx="19">
                  <c:v>0.23312433840892435</c:v>
                </c:pt>
                <c:pt idx="20">
                  <c:v>0.23297047666171863</c:v>
                </c:pt>
                <c:pt idx="21">
                  <c:v>0.22723820774618175</c:v>
                </c:pt>
                <c:pt idx="22">
                  <c:v>0.229609375</c:v>
                </c:pt>
                <c:pt idx="23">
                  <c:v>0.22180674768420158</c:v>
                </c:pt>
                <c:pt idx="24">
                  <c:v>0.219674440444514</c:v>
                </c:pt>
                <c:pt idx="25">
                  <c:v>0.22272552783109406</c:v>
                </c:pt>
                <c:pt idx="26">
                  <c:v>0.22070910556003223</c:v>
                </c:pt>
                <c:pt idx="27">
                  <c:v>0.21780800742000309</c:v>
                </c:pt>
                <c:pt idx="28">
                  <c:v>0.21277273451186496</c:v>
                </c:pt>
                <c:pt idx="29">
                  <c:v>0.217871709306637</c:v>
                </c:pt>
                <c:pt idx="30">
                  <c:v>0.21146623744922205</c:v>
                </c:pt>
                <c:pt idx="31">
                  <c:v>0.21308264786525657</c:v>
                </c:pt>
                <c:pt idx="32">
                  <c:v>0.21079136690647482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0.00014388489208633093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Req2!$C$127:$AI$127</c:f>
              <c:numCache>
                <c:ptCount val="33"/>
                <c:pt idx="0">
                  <c:v>0.43611819727891155</c:v>
                </c:pt>
                <c:pt idx="1">
                  <c:v>0.4375975755349435</c:v>
                </c:pt>
                <c:pt idx="2">
                  <c:v>0.43338157260009647</c:v>
                </c:pt>
                <c:pt idx="3">
                  <c:v>0.4368374987844014</c:v>
                </c:pt>
                <c:pt idx="4">
                  <c:v>0.4315649109438994</c:v>
                </c:pt>
                <c:pt idx="5">
                  <c:v>0.4391300254213351</c:v>
                </c:pt>
                <c:pt idx="6">
                  <c:v>0.43283036122542295</c:v>
                </c:pt>
                <c:pt idx="7">
                  <c:v>0.430093089867526</c:v>
                </c:pt>
                <c:pt idx="8">
                  <c:v>0.4366946021447238</c:v>
                </c:pt>
                <c:pt idx="9">
                  <c:v>0.42740866931667615</c:v>
                </c:pt>
                <c:pt idx="10">
                  <c:v>0.4288717000168152</c:v>
                </c:pt>
                <c:pt idx="11">
                  <c:v>0.43286295558826077</c:v>
                </c:pt>
                <c:pt idx="12">
                  <c:v>0.4249211879873901</c:v>
                </c:pt>
                <c:pt idx="13">
                  <c:v>0.42218811290185043</c:v>
                </c:pt>
                <c:pt idx="14">
                  <c:v>0.42450669485553205</c:v>
                </c:pt>
                <c:pt idx="15">
                  <c:v>0.42975065951833885</c:v>
                </c:pt>
                <c:pt idx="16">
                  <c:v>0.4272673484912518</c:v>
                </c:pt>
                <c:pt idx="17">
                  <c:v>0.4295073598230239</c:v>
                </c:pt>
                <c:pt idx="18">
                  <c:v>0.42462228125518847</c:v>
                </c:pt>
                <c:pt idx="19">
                  <c:v>0.42960670955133945</c:v>
                </c:pt>
                <c:pt idx="20">
                  <c:v>0.4285007422068283</c:v>
                </c:pt>
                <c:pt idx="21">
                  <c:v>0.42156780018563833</c:v>
                </c:pt>
                <c:pt idx="22">
                  <c:v>0.41625</c:v>
                </c:pt>
                <c:pt idx="23">
                  <c:v>0.41845840061188067</c:v>
                </c:pt>
                <c:pt idx="24">
                  <c:v>0.40734074190014086</c:v>
                </c:pt>
                <c:pt idx="25">
                  <c:v>0.4023800383877159</c:v>
                </c:pt>
                <c:pt idx="26">
                  <c:v>0.4040290088638195</c:v>
                </c:pt>
                <c:pt idx="27">
                  <c:v>0.4023805843252435</c:v>
                </c:pt>
                <c:pt idx="28">
                  <c:v>0.4069119286510591</c:v>
                </c:pt>
                <c:pt idx="29">
                  <c:v>0.40519095291064144</c:v>
                </c:pt>
                <c:pt idx="30">
                  <c:v>0.40522725530773357</c:v>
                </c:pt>
                <c:pt idx="31">
                  <c:v>0.40305522914218567</c:v>
                </c:pt>
                <c:pt idx="32">
                  <c:v>0.4064028776978417</c:v>
                </c:pt>
              </c:numCache>
            </c:numRef>
          </c:val>
          <c:smooth val="0"/>
        </c:ser>
        <c:marker val="1"/>
        <c:axId val="16516949"/>
        <c:axId val="14434814"/>
      </c:lineChart>
      <c:date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4814"/>
        <c:crosses val="autoZero"/>
        <c:auto val="0"/>
        <c:noMultiLvlLbl val="0"/>
      </c:date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5169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63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35"/>
          <c:w val="0.753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Req2!$C$97:$AI$97</c:f>
              <c:numCache>
                <c:ptCount val="33"/>
                <c:pt idx="0">
                  <c:v>1311</c:v>
                </c:pt>
                <c:pt idx="1">
                  <c:v>1571</c:v>
                </c:pt>
                <c:pt idx="2">
                  <c:v>1429</c:v>
                </c:pt>
                <c:pt idx="3">
                  <c:v>1460</c:v>
                </c:pt>
                <c:pt idx="4">
                  <c:v>1423</c:v>
                </c:pt>
                <c:pt idx="5">
                  <c:v>1456</c:v>
                </c:pt>
                <c:pt idx="6">
                  <c:v>1500</c:v>
                </c:pt>
                <c:pt idx="7">
                  <c:v>1520</c:v>
                </c:pt>
                <c:pt idx="8">
                  <c:v>1492</c:v>
                </c:pt>
                <c:pt idx="9">
                  <c:v>1391</c:v>
                </c:pt>
                <c:pt idx="10">
                  <c:v>1572</c:v>
                </c:pt>
                <c:pt idx="11">
                  <c:v>1513</c:v>
                </c:pt>
                <c:pt idx="12">
                  <c:v>1620</c:v>
                </c:pt>
                <c:pt idx="13">
                  <c:v>1564</c:v>
                </c:pt>
                <c:pt idx="14">
                  <c:v>1551</c:v>
                </c:pt>
                <c:pt idx="15">
                  <c:v>1684</c:v>
                </c:pt>
                <c:pt idx="16">
                  <c:v>1695</c:v>
                </c:pt>
                <c:pt idx="17">
                  <c:v>1763</c:v>
                </c:pt>
                <c:pt idx="18">
                  <c:v>1788</c:v>
                </c:pt>
                <c:pt idx="19">
                  <c:v>1867</c:v>
                </c:pt>
                <c:pt idx="20">
                  <c:v>1825</c:v>
                </c:pt>
                <c:pt idx="21">
                  <c:v>1751</c:v>
                </c:pt>
                <c:pt idx="22">
                  <c:v>1928</c:v>
                </c:pt>
                <c:pt idx="23">
                  <c:v>1776</c:v>
                </c:pt>
                <c:pt idx="24">
                  <c:v>1940</c:v>
                </c:pt>
                <c:pt idx="25">
                  <c:v>1900</c:v>
                </c:pt>
                <c:pt idx="26">
                  <c:v>1846</c:v>
                </c:pt>
                <c:pt idx="27">
                  <c:v>1875</c:v>
                </c:pt>
                <c:pt idx="28">
                  <c:v>1893</c:v>
                </c:pt>
                <c:pt idx="29">
                  <c:v>2033</c:v>
                </c:pt>
                <c:pt idx="30">
                  <c:v>1956</c:v>
                </c:pt>
                <c:pt idx="31">
                  <c:v>1913</c:v>
                </c:pt>
                <c:pt idx="32">
                  <c:v>2107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Req2!$C$98:$AI$98</c:f>
              <c:numCache>
                <c:ptCount val="33"/>
                <c:pt idx="0">
                  <c:v>2792</c:v>
                </c:pt>
                <c:pt idx="1">
                  <c:v>3194</c:v>
                </c:pt>
                <c:pt idx="2">
                  <c:v>3063</c:v>
                </c:pt>
                <c:pt idx="3">
                  <c:v>3032</c:v>
                </c:pt>
                <c:pt idx="4">
                  <c:v>3108</c:v>
                </c:pt>
                <c:pt idx="5">
                  <c:v>3208</c:v>
                </c:pt>
                <c:pt idx="6">
                  <c:v>3233</c:v>
                </c:pt>
                <c:pt idx="7">
                  <c:v>3285</c:v>
                </c:pt>
                <c:pt idx="8">
                  <c:v>3354</c:v>
                </c:pt>
                <c:pt idx="9">
                  <c:v>3125</c:v>
                </c:pt>
                <c:pt idx="10">
                  <c:v>3529</c:v>
                </c:pt>
                <c:pt idx="11">
                  <c:v>3487</c:v>
                </c:pt>
                <c:pt idx="12">
                  <c:v>3502</c:v>
                </c:pt>
                <c:pt idx="13">
                  <c:v>3387</c:v>
                </c:pt>
                <c:pt idx="14">
                  <c:v>3268</c:v>
                </c:pt>
                <c:pt idx="15">
                  <c:v>3366</c:v>
                </c:pt>
                <c:pt idx="16">
                  <c:v>3360</c:v>
                </c:pt>
                <c:pt idx="17">
                  <c:v>3285</c:v>
                </c:pt>
                <c:pt idx="18">
                  <c:v>3327</c:v>
                </c:pt>
                <c:pt idx="19">
                  <c:v>3409</c:v>
                </c:pt>
                <c:pt idx="20">
                  <c:v>3371</c:v>
                </c:pt>
                <c:pt idx="21">
                  <c:v>3245</c:v>
                </c:pt>
                <c:pt idx="22">
                  <c:v>3400</c:v>
                </c:pt>
                <c:pt idx="23">
                  <c:v>3148</c:v>
                </c:pt>
                <c:pt idx="24">
                  <c:v>3265</c:v>
                </c:pt>
                <c:pt idx="25">
                  <c:v>3331</c:v>
                </c:pt>
                <c:pt idx="26">
                  <c:v>3152</c:v>
                </c:pt>
                <c:pt idx="27">
                  <c:v>3312</c:v>
                </c:pt>
                <c:pt idx="28">
                  <c:v>3183</c:v>
                </c:pt>
                <c:pt idx="29">
                  <c:v>3372</c:v>
                </c:pt>
                <c:pt idx="30">
                  <c:v>3253</c:v>
                </c:pt>
                <c:pt idx="31">
                  <c:v>3137</c:v>
                </c:pt>
                <c:pt idx="32">
                  <c:v>3430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19</c:v>
                </c:pt>
                <c:pt idx="28">
                  <c:v>34</c:v>
                </c:pt>
                <c:pt idx="29">
                  <c:v>59</c:v>
                </c:pt>
                <c:pt idx="30">
                  <c:v>78</c:v>
                </c:pt>
                <c:pt idx="31">
                  <c:v>95</c:v>
                </c:pt>
                <c:pt idx="32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Req2!$C$100:$AI$100</c:f>
              <c:numCache>
                <c:ptCount val="33"/>
                <c:pt idx="0">
                  <c:v>626</c:v>
                </c:pt>
                <c:pt idx="1">
                  <c:v>712</c:v>
                </c:pt>
                <c:pt idx="2">
                  <c:v>646</c:v>
                </c:pt>
                <c:pt idx="3">
                  <c:v>657</c:v>
                </c:pt>
                <c:pt idx="4">
                  <c:v>685</c:v>
                </c:pt>
                <c:pt idx="5">
                  <c:v>700</c:v>
                </c:pt>
                <c:pt idx="6">
                  <c:v>726</c:v>
                </c:pt>
                <c:pt idx="7">
                  <c:v>769</c:v>
                </c:pt>
                <c:pt idx="8">
                  <c:v>737</c:v>
                </c:pt>
                <c:pt idx="9">
                  <c:v>706</c:v>
                </c:pt>
                <c:pt idx="10">
                  <c:v>802</c:v>
                </c:pt>
                <c:pt idx="11">
                  <c:v>749</c:v>
                </c:pt>
                <c:pt idx="12">
                  <c:v>831</c:v>
                </c:pt>
                <c:pt idx="13">
                  <c:v>763</c:v>
                </c:pt>
                <c:pt idx="14">
                  <c:v>723</c:v>
                </c:pt>
                <c:pt idx="15">
                  <c:v>749</c:v>
                </c:pt>
                <c:pt idx="16">
                  <c:v>742</c:v>
                </c:pt>
                <c:pt idx="17">
                  <c:v>732</c:v>
                </c:pt>
                <c:pt idx="18">
                  <c:v>755</c:v>
                </c:pt>
                <c:pt idx="19">
                  <c:v>739</c:v>
                </c:pt>
                <c:pt idx="20">
                  <c:v>750</c:v>
                </c:pt>
                <c:pt idx="21">
                  <c:v>734</c:v>
                </c:pt>
                <c:pt idx="22">
                  <c:v>745</c:v>
                </c:pt>
                <c:pt idx="23">
                  <c:v>683</c:v>
                </c:pt>
                <c:pt idx="24">
                  <c:v>730</c:v>
                </c:pt>
                <c:pt idx="25">
                  <c:v>720</c:v>
                </c:pt>
                <c:pt idx="26">
                  <c:v>672</c:v>
                </c:pt>
                <c:pt idx="27">
                  <c:v>692</c:v>
                </c:pt>
                <c:pt idx="28">
                  <c:v>665</c:v>
                </c:pt>
                <c:pt idx="29">
                  <c:v>725</c:v>
                </c:pt>
                <c:pt idx="30">
                  <c:v>666</c:v>
                </c:pt>
                <c:pt idx="31">
                  <c:v>648</c:v>
                </c:pt>
                <c:pt idx="32">
                  <c:v>677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Req2!$C$101:$AI$101</c:f>
              <c:numCache>
                <c:ptCount val="33"/>
                <c:pt idx="0">
                  <c:v>1989</c:v>
                </c:pt>
                <c:pt idx="1">
                  <c:v>2281</c:v>
                </c:pt>
                <c:pt idx="2">
                  <c:v>2135</c:v>
                </c:pt>
                <c:pt idx="3">
                  <c:v>2135</c:v>
                </c:pt>
                <c:pt idx="4">
                  <c:v>2194</c:v>
                </c:pt>
                <c:pt idx="5">
                  <c:v>2226</c:v>
                </c:pt>
                <c:pt idx="6">
                  <c:v>2333</c:v>
                </c:pt>
                <c:pt idx="7">
                  <c:v>2380</c:v>
                </c:pt>
                <c:pt idx="8">
                  <c:v>2361</c:v>
                </c:pt>
                <c:pt idx="9">
                  <c:v>2248</c:v>
                </c:pt>
                <c:pt idx="10">
                  <c:v>2538</c:v>
                </c:pt>
                <c:pt idx="11">
                  <c:v>2417</c:v>
                </c:pt>
                <c:pt idx="12">
                  <c:v>2542</c:v>
                </c:pt>
                <c:pt idx="13">
                  <c:v>2496</c:v>
                </c:pt>
                <c:pt idx="14">
                  <c:v>2390</c:v>
                </c:pt>
                <c:pt idx="15">
                  <c:v>2436</c:v>
                </c:pt>
                <c:pt idx="16">
                  <c:v>2479</c:v>
                </c:pt>
                <c:pt idx="17">
                  <c:v>2417</c:v>
                </c:pt>
                <c:pt idx="18">
                  <c:v>2488</c:v>
                </c:pt>
                <c:pt idx="19">
                  <c:v>2514</c:v>
                </c:pt>
                <c:pt idx="20">
                  <c:v>2444</c:v>
                </c:pt>
                <c:pt idx="21">
                  <c:v>2408</c:v>
                </c:pt>
                <c:pt idx="22">
                  <c:v>2528</c:v>
                </c:pt>
                <c:pt idx="23">
                  <c:v>2293</c:v>
                </c:pt>
                <c:pt idx="24">
                  <c:v>2516</c:v>
                </c:pt>
                <c:pt idx="25">
                  <c:v>2487</c:v>
                </c:pt>
                <c:pt idx="26">
                  <c:v>2367</c:v>
                </c:pt>
                <c:pt idx="27">
                  <c:v>2451</c:v>
                </c:pt>
                <c:pt idx="28">
                  <c:v>2367</c:v>
                </c:pt>
                <c:pt idx="29">
                  <c:v>2478</c:v>
                </c:pt>
                <c:pt idx="30">
                  <c:v>2422</c:v>
                </c:pt>
                <c:pt idx="31">
                  <c:v>2350</c:v>
                </c:pt>
                <c:pt idx="32">
                  <c:v>2507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Req2!$C$102:$AI$102</c:f>
              <c:numCache>
                <c:ptCount val="33"/>
                <c:pt idx="0">
                  <c:v>207</c:v>
                </c:pt>
                <c:pt idx="1">
                  <c:v>304</c:v>
                </c:pt>
                <c:pt idx="2">
                  <c:v>319</c:v>
                </c:pt>
                <c:pt idx="3">
                  <c:v>346</c:v>
                </c:pt>
                <c:pt idx="4">
                  <c:v>378</c:v>
                </c:pt>
                <c:pt idx="5">
                  <c:v>344</c:v>
                </c:pt>
                <c:pt idx="6">
                  <c:v>327</c:v>
                </c:pt>
                <c:pt idx="7">
                  <c:v>342</c:v>
                </c:pt>
                <c:pt idx="8">
                  <c:v>330</c:v>
                </c:pt>
                <c:pt idx="9">
                  <c:v>354</c:v>
                </c:pt>
                <c:pt idx="10">
                  <c:v>401</c:v>
                </c:pt>
                <c:pt idx="11">
                  <c:v>395</c:v>
                </c:pt>
                <c:pt idx="12">
                  <c:v>440</c:v>
                </c:pt>
                <c:pt idx="13">
                  <c:v>464</c:v>
                </c:pt>
                <c:pt idx="14">
                  <c:v>462</c:v>
                </c:pt>
                <c:pt idx="15">
                  <c:v>467</c:v>
                </c:pt>
                <c:pt idx="16">
                  <c:v>482</c:v>
                </c:pt>
                <c:pt idx="17">
                  <c:v>471</c:v>
                </c:pt>
                <c:pt idx="18">
                  <c:v>499</c:v>
                </c:pt>
                <c:pt idx="19">
                  <c:v>534</c:v>
                </c:pt>
                <c:pt idx="20">
                  <c:v>532</c:v>
                </c:pt>
                <c:pt idx="21">
                  <c:v>608</c:v>
                </c:pt>
                <c:pt idx="22">
                  <c:v>755</c:v>
                </c:pt>
                <c:pt idx="23">
                  <c:v>754</c:v>
                </c:pt>
                <c:pt idx="24">
                  <c:v>913</c:v>
                </c:pt>
                <c:pt idx="25">
                  <c:v>1033</c:v>
                </c:pt>
                <c:pt idx="26">
                  <c:v>1000</c:v>
                </c:pt>
                <c:pt idx="27">
                  <c:v>1105</c:v>
                </c:pt>
                <c:pt idx="28">
                  <c:v>1086</c:v>
                </c:pt>
                <c:pt idx="29">
                  <c:v>1200</c:v>
                </c:pt>
                <c:pt idx="30">
                  <c:v>1217</c:v>
                </c:pt>
                <c:pt idx="31">
                  <c:v>1205</c:v>
                </c:pt>
                <c:pt idx="32">
                  <c:v>1355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62</c:v>
                </c:pt>
                <c:pt idx="10">
                  <c:v>131</c:v>
                </c:pt>
                <c:pt idx="11">
                  <c:v>159</c:v>
                </c:pt>
                <c:pt idx="12">
                  <c:v>221</c:v>
                </c:pt>
                <c:pt idx="13">
                  <c:v>226</c:v>
                </c:pt>
                <c:pt idx="14">
                  <c:v>246</c:v>
                </c:pt>
                <c:pt idx="15">
                  <c:v>249</c:v>
                </c:pt>
                <c:pt idx="16">
                  <c:v>264</c:v>
                </c:pt>
                <c:pt idx="17">
                  <c:v>294</c:v>
                </c:pt>
                <c:pt idx="18">
                  <c:v>306</c:v>
                </c:pt>
                <c:pt idx="19">
                  <c:v>325</c:v>
                </c:pt>
                <c:pt idx="20">
                  <c:v>339</c:v>
                </c:pt>
                <c:pt idx="21">
                  <c:v>350</c:v>
                </c:pt>
                <c:pt idx="22">
                  <c:v>378</c:v>
                </c:pt>
                <c:pt idx="23">
                  <c:v>364</c:v>
                </c:pt>
                <c:pt idx="24">
                  <c:v>393</c:v>
                </c:pt>
                <c:pt idx="25">
                  <c:v>410</c:v>
                </c:pt>
                <c:pt idx="26">
                  <c:v>393</c:v>
                </c:pt>
                <c:pt idx="27">
                  <c:v>410</c:v>
                </c:pt>
                <c:pt idx="28">
                  <c:v>382</c:v>
                </c:pt>
                <c:pt idx="29">
                  <c:v>398</c:v>
                </c:pt>
                <c:pt idx="30">
                  <c:v>399</c:v>
                </c:pt>
                <c:pt idx="31">
                  <c:v>384</c:v>
                </c:pt>
                <c:pt idx="32">
                  <c:v>431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37</c:v>
                </c:pt>
                <c:pt idx="22">
                  <c:v>93</c:v>
                </c:pt>
                <c:pt idx="23">
                  <c:v>111</c:v>
                </c:pt>
                <c:pt idx="24">
                  <c:v>187</c:v>
                </c:pt>
                <c:pt idx="25">
                  <c:v>198</c:v>
                </c:pt>
                <c:pt idx="26">
                  <c:v>197</c:v>
                </c:pt>
                <c:pt idx="27">
                  <c:v>224</c:v>
                </c:pt>
                <c:pt idx="28">
                  <c:v>248</c:v>
                </c:pt>
                <c:pt idx="29">
                  <c:v>248</c:v>
                </c:pt>
                <c:pt idx="30">
                  <c:v>261</c:v>
                </c:pt>
                <c:pt idx="31">
                  <c:v>283</c:v>
                </c:pt>
                <c:pt idx="32">
                  <c:v>314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Req2!$C$105:$AI$105</c:f>
              <c:numCache>
                <c:ptCount val="33"/>
                <c:pt idx="0">
                  <c:v>39</c:v>
                </c:pt>
                <c:pt idx="1">
                  <c:v>27</c:v>
                </c:pt>
                <c:pt idx="2">
                  <c:v>30</c:v>
                </c:pt>
                <c:pt idx="3">
                  <c:v>30</c:v>
                </c:pt>
                <c:pt idx="4">
                  <c:v>28</c:v>
                </c:pt>
                <c:pt idx="5">
                  <c:v>27</c:v>
                </c:pt>
                <c:pt idx="6">
                  <c:v>24</c:v>
                </c:pt>
                <c:pt idx="7">
                  <c:v>29</c:v>
                </c:pt>
                <c:pt idx="8">
                  <c:v>24</c:v>
                </c:pt>
                <c:pt idx="9">
                  <c:v>25</c:v>
                </c:pt>
                <c:pt idx="10">
                  <c:v>30</c:v>
                </c:pt>
                <c:pt idx="11">
                  <c:v>29</c:v>
                </c:pt>
                <c:pt idx="12">
                  <c:v>27</c:v>
                </c:pt>
                <c:pt idx="13">
                  <c:v>27</c:v>
                </c:pt>
                <c:pt idx="14">
                  <c:v>30</c:v>
                </c:pt>
                <c:pt idx="15">
                  <c:v>32</c:v>
                </c:pt>
                <c:pt idx="16">
                  <c:v>24</c:v>
                </c:pt>
                <c:pt idx="17">
                  <c:v>32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25</c:v>
                </c:pt>
                <c:pt idx="22">
                  <c:v>34</c:v>
                </c:pt>
                <c:pt idx="23">
                  <c:v>28</c:v>
                </c:pt>
                <c:pt idx="24">
                  <c:v>27</c:v>
                </c:pt>
                <c:pt idx="25">
                  <c:v>35</c:v>
                </c:pt>
                <c:pt idx="26">
                  <c:v>28</c:v>
                </c:pt>
                <c:pt idx="27">
                  <c:v>32</c:v>
                </c:pt>
                <c:pt idx="28">
                  <c:v>28</c:v>
                </c:pt>
                <c:pt idx="29">
                  <c:v>34</c:v>
                </c:pt>
                <c:pt idx="30">
                  <c:v>36</c:v>
                </c:pt>
                <c:pt idx="31">
                  <c:v>30</c:v>
                </c:pt>
                <c:pt idx="32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Req2!$C$106:$AI$106</c:f>
              <c:numCache>
                <c:ptCount val="33"/>
                <c:pt idx="0">
                  <c:v>2444</c:v>
                </c:pt>
                <c:pt idx="1">
                  <c:v>2800</c:v>
                </c:pt>
                <c:pt idx="2">
                  <c:v>2743</c:v>
                </c:pt>
                <c:pt idx="3">
                  <c:v>2623</c:v>
                </c:pt>
                <c:pt idx="4">
                  <c:v>2683</c:v>
                </c:pt>
                <c:pt idx="5">
                  <c:v>2660</c:v>
                </c:pt>
                <c:pt idx="6">
                  <c:v>2792</c:v>
                </c:pt>
                <c:pt idx="7">
                  <c:v>2847</c:v>
                </c:pt>
                <c:pt idx="8">
                  <c:v>2776</c:v>
                </c:pt>
                <c:pt idx="9">
                  <c:v>2655</c:v>
                </c:pt>
                <c:pt idx="10">
                  <c:v>2891</c:v>
                </c:pt>
                <c:pt idx="11">
                  <c:v>2802</c:v>
                </c:pt>
                <c:pt idx="12">
                  <c:v>2871</c:v>
                </c:pt>
                <c:pt idx="13">
                  <c:v>2800</c:v>
                </c:pt>
                <c:pt idx="14">
                  <c:v>2682</c:v>
                </c:pt>
                <c:pt idx="15">
                  <c:v>2768</c:v>
                </c:pt>
                <c:pt idx="16">
                  <c:v>2785</c:v>
                </c:pt>
                <c:pt idx="17">
                  <c:v>2759</c:v>
                </c:pt>
                <c:pt idx="18">
                  <c:v>2854</c:v>
                </c:pt>
                <c:pt idx="19">
                  <c:v>2863</c:v>
                </c:pt>
                <c:pt idx="20">
                  <c:v>2825</c:v>
                </c:pt>
                <c:pt idx="21">
                  <c:v>2693</c:v>
                </c:pt>
                <c:pt idx="22">
                  <c:v>2939</c:v>
                </c:pt>
                <c:pt idx="23">
                  <c:v>2610</c:v>
                </c:pt>
                <c:pt idx="24">
                  <c:v>2807</c:v>
                </c:pt>
                <c:pt idx="25">
                  <c:v>2901</c:v>
                </c:pt>
                <c:pt idx="26">
                  <c:v>2739</c:v>
                </c:pt>
                <c:pt idx="27">
                  <c:v>2818</c:v>
                </c:pt>
                <c:pt idx="28">
                  <c:v>2672</c:v>
                </c:pt>
                <c:pt idx="29">
                  <c:v>2938</c:v>
                </c:pt>
                <c:pt idx="30">
                  <c:v>2759</c:v>
                </c:pt>
                <c:pt idx="31">
                  <c:v>2720</c:v>
                </c:pt>
                <c:pt idx="32">
                  <c:v>2930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4103</c:v>
                </c:pt>
                <c:pt idx="1">
                  <c:v>4765</c:v>
                </c:pt>
                <c:pt idx="2">
                  <c:v>4492</c:v>
                </c:pt>
                <c:pt idx="3">
                  <c:v>4492</c:v>
                </c:pt>
                <c:pt idx="4">
                  <c:v>4531</c:v>
                </c:pt>
                <c:pt idx="5">
                  <c:v>4664</c:v>
                </c:pt>
                <c:pt idx="6">
                  <c:v>4733</c:v>
                </c:pt>
                <c:pt idx="7">
                  <c:v>4805</c:v>
                </c:pt>
                <c:pt idx="8">
                  <c:v>4846</c:v>
                </c:pt>
                <c:pt idx="9">
                  <c:v>4516</c:v>
                </c:pt>
                <c:pt idx="10">
                  <c:v>5101</c:v>
                </c:pt>
                <c:pt idx="11">
                  <c:v>5000</c:v>
                </c:pt>
                <c:pt idx="12">
                  <c:v>5122</c:v>
                </c:pt>
                <c:pt idx="13">
                  <c:v>4951</c:v>
                </c:pt>
                <c:pt idx="14">
                  <c:v>4819</c:v>
                </c:pt>
                <c:pt idx="15">
                  <c:v>5050</c:v>
                </c:pt>
                <c:pt idx="16">
                  <c:v>5055</c:v>
                </c:pt>
                <c:pt idx="17">
                  <c:v>5048</c:v>
                </c:pt>
                <c:pt idx="18">
                  <c:v>5115</c:v>
                </c:pt>
                <c:pt idx="19">
                  <c:v>5276</c:v>
                </c:pt>
                <c:pt idx="20">
                  <c:v>5196</c:v>
                </c:pt>
                <c:pt idx="21">
                  <c:v>4996</c:v>
                </c:pt>
                <c:pt idx="22">
                  <c:v>5328</c:v>
                </c:pt>
                <c:pt idx="23">
                  <c:v>4924</c:v>
                </c:pt>
                <c:pt idx="24">
                  <c:v>5205</c:v>
                </c:pt>
                <c:pt idx="25">
                  <c:v>5241</c:v>
                </c:pt>
                <c:pt idx="26">
                  <c:v>5014</c:v>
                </c:pt>
                <c:pt idx="27">
                  <c:v>5206</c:v>
                </c:pt>
                <c:pt idx="28">
                  <c:v>5110</c:v>
                </c:pt>
                <c:pt idx="29">
                  <c:v>5464</c:v>
                </c:pt>
                <c:pt idx="30">
                  <c:v>5287</c:v>
                </c:pt>
                <c:pt idx="31">
                  <c:v>5145</c:v>
                </c:pt>
                <c:pt idx="32">
                  <c:v>5649</c:v>
                </c:pt>
              </c:numCache>
            </c:numRef>
          </c:val>
          <c:smooth val="0"/>
        </c:ser>
        <c:marker val="1"/>
        <c:axId val="62804463"/>
        <c:axId val="28369256"/>
      </c:lineChart>
      <c:date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auto val="0"/>
        <c:noMultiLvlLbl val="0"/>
      </c:date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Req3!$C$115:$AI$115</c:f>
              <c:numCache>
                <c:ptCount val="33"/>
                <c:pt idx="0">
                  <c:v>0.14185478950579622</c:v>
                </c:pt>
                <c:pt idx="1">
                  <c:v>0.148661800486618</c:v>
                </c:pt>
                <c:pt idx="2">
                  <c:v>0.1425391737891738</c:v>
                </c:pt>
                <c:pt idx="3">
                  <c:v>0.1469337114498405</c:v>
                </c:pt>
                <c:pt idx="4">
                  <c:v>0.14054195347216172</c:v>
                </c:pt>
                <c:pt idx="5">
                  <c:v>0.14024975984630164</c:v>
                </c:pt>
                <c:pt idx="6">
                  <c:v>0.14141668767330476</c:v>
                </c:pt>
                <c:pt idx="7">
                  <c:v>0.14077985377741672</c:v>
                </c:pt>
                <c:pt idx="8">
                  <c:v>0.13854411271385442</c:v>
                </c:pt>
                <c:pt idx="9">
                  <c:v>0.13409582132564843</c:v>
                </c:pt>
                <c:pt idx="10">
                  <c:v>0.1339680635729815</c:v>
                </c:pt>
                <c:pt idx="11">
                  <c:v>0.13287385799006252</c:v>
                </c:pt>
                <c:pt idx="12">
                  <c:v>0.13330815709969787</c:v>
                </c:pt>
                <c:pt idx="13">
                  <c:v>0.13348964439234076</c:v>
                </c:pt>
                <c:pt idx="14">
                  <c:v>0.13647213762449584</c:v>
                </c:pt>
                <c:pt idx="15">
                  <c:v>0.14137166450034405</c:v>
                </c:pt>
                <c:pt idx="16">
                  <c:v>0.14328541778768544</c:v>
                </c:pt>
                <c:pt idx="17">
                  <c:v>0.15067737870195339</c:v>
                </c:pt>
                <c:pt idx="18">
                  <c:v>0.14772124061575795</c:v>
                </c:pt>
                <c:pt idx="19">
                  <c:v>0.15221579961464354</c:v>
                </c:pt>
                <c:pt idx="20">
                  <c:v>0.15242829827915869</c:v>
                </c:pt>
                <c:pt idx="21">
                  <c:v>0.14984855730910251</c:v>
                </c:pt>
                <c:pt idx="22">
                  <c:v>0.151254531238894</c:v>
                </c:pt>
                <c:pt idx="23">
                  <c:v>0.15165914948453607</c:v>
                </c:pt>
                <c:pt idx="24">
                  <c:v>0.15251361097362653</c:v>
                </c:pt>
                <c:pt idx="25">
                  <c:v>0.14669464847848898</c:v>
                </c:pt>
                <c:pt idx="26">
                  <c:v>0.1511215165017748</c:v>
                </c:pt>
                <c:pt idx="27">
                  <c:v>0.1454405809244519</c:v>
                </c:pt>
                <c:pt idx="28">
                  <c:v>0.15136255924170616</c:v>
                </c:pt>
                <c:pt idx="29">
                  <c:v>0.15256980979360582</c:v>
                </c:pt>
                <c:pt idx="30">
                  <c:v>0.15219713695605727</c:v>
                </c:pt>
                <c:pt idx="31">
                  <c:v>0.1518502137697184</c:v>
                </c:pt>
                <c:pt idx="32">
                  <c:v>0.1516259380411776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Req3!$C$116:$AI$116</c:f>
              <c:numCache>
                <c:ptCount val="33"/>
                <c:pt idx="0">
                  <c:v>0.3042505592841163</c:v>
                </c:pt>
                <c:pt idx="1">
                  <c:v>0.30154095701540956</c:v>
                </c:pt>
                <c:pt idx="2">
                  <c:v>0.30101495726495725</c:v>
                </c:pt>
                <c:pt idx="3">
                  <c:v>0.304590570719603</c:v>
                </c:pt>
                <c:pt idx="4">
                  <c:v>0.3051320031367082</c:v>
                </c:pt>
                <c:pt idx="5">
                  <c:v>0.30879399179110995</c:v>
                </c:pt>
                <c:pt idx="6">
                  <c:v>0.30451222586337284</c:v>
                </c:pt>
                <c:pt idx="7">
                  <c:v>0.30203086921202277</c:v>
                </c:pt>
                <c:pt idx="8">
                  <c:v>0.31113720228111374</c:v>
                </c:pt>
                <c:pt idx="9">
                  <c:v>0.30277377521613835</c:v>
                </c:pt>
                <c:pt idx="10">
                  <c:v>0.30452057875402955</c:v>
                </c:pt>
                <c:pt idx="11">
                  <c:v>0.3082224715499279</c:v>
                </c:pt>
                <c:pt idx="12">
                  <c:v>0.29954682779456193</c:v>
                </c:pt>
                <c:pt idx="13">
                  <c:v>0.29550605705353655</c:v>
                </c:pt>
                <c:pt idx="14">
                  <c:v>0.2944275248991687</c:v>
                </c:pt>
                <c:pt idx="15">
                  <c:v>0.29375334505696155</c:v>
                </c:pt>
                <c:pt idx="16">
                  <c:v>0.29279729418095163</c:v>
                </c:pt>
                <c:pt idx="17">
                  <c:v>0.2876496534341525</c:v>
                </c:pt>
                <c:pt idx="18">
                  <c:v>0.28634261014635626</c:v>
                </c:pt>
                <c:pt idx="19">
                  <c:v>0.2829405661775604</c:v>
                </c:pt>
                <c:pt idx="20">
                  <c:v>0.2839770554493308</c:v>
                </c:pt>
                <c:pt idx="21">
                  <c:v>0.2794516180455922</c:v>
                </c:pt>
                <c:pt idx="22">
                  <c:v>0.27166109886985573</c:v>
                </c:pt>
                <c:pt idx="23">
                  <c:v>0.2737596649484536</c:v>
                </c:pt>
                <c:pt idx="24">
                  <c:v>0.26444177331542107</c:v>
                </c:pt>
                <c:pt idx="25">
                  <c:v>0.26260930395243093</c:v>
                </c:pt>
                <c:pt idx="26">
                  <c:v>0.2548901140397251</c:v>
                </c:pt>
                <c:pt idx="27">
                  <c:v>0.25624912721686915</c:v>
                </c:pt>
                <c:pt idx="28">
                  <c:v>0.2581457345971564</c:v>
                </c:pt>
                <c:pt idx="29">
                  <c:v>0.25246189127208957</c:v>
                </c:pt>
                <c:pt idx="30">
                  <c:v>0.2527597749448045</c:v>
                </c:pt>
                <c:pt idx="31">
                  <c:v>0.24782544596786082</c:v>
                </c:pt>
                <c:pt idx="32">
                  <c:v>0.24924636007953307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0.0006995452955578874</c:v>
                </c:pt>
                <c:pt idx="26">
                  <c:v>0.0012083679480401782</c:v>
                </c:pt>
                <c:pt idx="27">
                  <c:v>0.0016059209607596704</c:v>
                </c:pt>
                <c:pt idx="28">
                  <c:v>0.002591824644549763</c:v>
                </c:pt>
                <c:pt idx="29">
                  <c:v>0.00424929178470255</c:v>
                </c:pt>
                <c:pt idx="30">
                  <c:v>0.006053699878926002</c:v>
                </c:pt>
                <c:pt idx="31">
                  <c:v>0.007445083296476486</c:v>
                </c:pt>
                <c:pt idx="32">
                  <c:v>0.007696748123917645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Req3!$C$118:$AI$118</c:f>
              <c:numCache>
                <c:ptCount val="33"/>
                <c:pt idx="0">
                  <c:v>0.06752084604433597</c:v>
                </c:pt>
                <c:pt idx="1">
                  <c:v>0.0665044606650446</c:v>
                </c:pt>
                <c:pt idx="2">
                  <c:v>0.06356837606837606</c:v>
                </c:pt>
                <c:pt idx="3">
                  <c:v>0.06584544487770294</c:v>
                </c:pt>
                <c:pt idx="4">
                  <c:v>0.06639365687897535</c:v>
                </c:pt>
                <c:pt idx="5">
                  <c:v>0.06636974936686753</c:v>
                </c:pt>
                <c:pt idx="6">
                  <c:v>0.06772540122678766</c:v>
                </c:pt>
                <c:pt idx="7">
                  <c:v>0.06969943135662063</c:v>
                </c:pt>
                <c:pt idx="8">
                  <c:v>0.06667225763166723</c:v>
                </c:pt>
                <c:pt idx="9">
                  <c:v>0.06745317002881844</c:v>
                </c:pt>
                <c:pt idx="10">
                  <c:v>0.06949546442761827</c:v>
                </c:pt>
                <c:pt idx="11">
                  <c:v>0.06507453117486776</c:v>
                </c:pt>
                <c:pt idx="12">
                  <c:v>0.07054380664652568</c:v>
                </c:pt>
                <c:pt idx="13">
                  <c:v>0.06651035560765924</c:v>
                </c:pt>
                <c:pt idx="14">
                  <c:v>0.0647789941558976</c:v>
                </c:pt>
                <c:pt idx="15">
                  <c:v>0.0656013456686291</c:v>
                </c:pt>
                <c:pt idx="16">
                  <c:v>0.06257206549312015</c:v>
                </c:pt>
                <c:pt idx="17">
                  <c:v>0.06395715185885319</c:v>
                </c:pt>
                <c:pt idx="18">
                  <c:v>0.06331993630090241</c:v>
                </c:pt>
                <c:pt idx="19">
                  <c:v>0.0609159626500667</c:v>
                </c:pt>
                <c:pt idx="20">
                  <c:v>0.06325047801147228</c:v>
                </c:pt>
                <c:pt idx="21">
                  <c:v>0.0635262234975291</c:v>
                </c:pt>
                <c:pt idx="22">
                  <c:v>0.05899495344374156</c:v>
                </c:pt>
                <c:pt idx="23">
                  <c:v>0.05976159793814433</c:v>
                </c:pt>
                <c:pt idx="24">
                  <c:v>0.05903980767871032</c:v>
                </c:pt>
                <c:pt idx="25">
                  <c:v>0.0558936691150752</c:v>
                </c:pt>
                <c:pt idx="26">
                  <c:v>0.055735971603353224</c:v>
                </c:pt>
                <c:pt idx="27">
                  <c:v>0.054252199413489736</c:v>
                </c:pt>
                <c:pt idx="28">
                  <c:v>0.052947274881516584</c:v>
                </c:pt>
                <c:pt idx="29">
                  <c:v>0.05240793201133145</c:v>
                </c:pt>
                <c:pt idx="30">
                  <c:v>0.05049497899010042</c:v>
                </c:pt>
                <c:pt idx="31">
                  <c:v>0.05056759545923633</c:v>
                </c:pt>
                <c:pt idx="32">
                  <c:v>0.04848951318068116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Req3!$C$119:$AI$119</c:f>
              <c:numCache>
                <c:ptCount val="33"/>
                <c:pt idx="0">
                  <c:v>0.21710392515761642</c:v>
                </c:pt>
                <c:pt idx="1">
                  <c:v>0.21419302514193025</c:v>
                </c:pt>
                <c:pt idx="2">
                  <c:v>0.21198361823361822</c:v>
                </c:pt>
                <c:pt idx="3">
                  <c:v>0.21047500886210563</c:v>
                </c:pt>
                <c:pt idx="4">
                  <c:v>0.21364468066567918</c:v>
                </c:pt>
                <c:pt idx="5">
                  <c:v>0.21456641341367566</c:v>
                </c:pt>
                <c:pt idx="6">
                  <c:v>0.21905722208217795</c:v>
                </c:pt>
                <c:pt idx="7">
                  <c:v>0.21754670999187653</c:v>
                </c:pt>
                <c:pt idx="8">
                  <c:v>0.2179637705467964</c:v>
                </c:pt>
                <c:pt idx="9">
                  <c:v>0.2188400576368876</c:v>
                </c:pt>
                <c:pt idx="10">
                  <c:v>0.21883199640152934</c:v>
                </c:pt>
                <c:pt idx="11">
                  <c:v>0.21453758615162685</c:v>
                </c:pt>
                <c:pt idx="12">
                  <c:v>0.21661631419939578</c:v>
                </c:pt>
                <c:pt idx="13">
                  <c:v>0.21774130519734272</c:v>
                </c:pt>
                <c:pt idx="14">
                  <c:v>0.21623178862457815</c:v>
                </c:pt>
                <c:pt idx="15">
                  <c:v>0.21339551953513267</c:v>
                </c:pt>
                <c:pt idx="16">
                  <c:v>0.21585056499346605</c:v>
                </c:pt>
                <c:pt idx="17">
                  <c:v>0.2097511027095148</c:v>
                </c:pt>
                <c:pt idx="18">
                  <c:v>0.21119284143474634</c:v>
                </c:pt>
                <c:pt idx="19">
                  <c:v>0.21142730102267673</c:v>
                </c:pt>
                <c:pt idx="20">
                  <c:v>0.2044359464627151</c:v>
                </c:pt>
                <c:pt idx="21">
                  <c:v>0.20739677985015145</c:v>
                </c:pt>
                <c:pt idx="22">
                  <c:v>0.20392351979529463</c:v>
                </c:pt>
                <c:pt idx="23">
                  <c:v>0.19716494845360824</c:v>
                </c:pt>
                <c:pt idx="24">
                  <c:v>0.20214947323764407</c:v>
                </c:pt>
                <c:pt idx="25">
                  <c:v>0.19587268275620848</c:v>
                </c:pt>
                <c:pt idx="26">
                  <c:v>0.19583113057926138</c:v>
                </c:pt>
                <c:pt idx="27">
                  <c:v>0.19683005166876136</c:v>
                </c:pt>
                <c:pt idx="28">
                  <c:v>0.19364632701421802</c:v>
                </c:pt>
                <c:pt idx="29">
                  <c:v>0.1897342506407662</c:v>
                </c:pt>
                <c:pt idx="30">
                  <c:v>0.19015739619685207</c:v>
                </c:pt>
                <c:pt idx="31">
                  <c:v>0.1880436385080348</c:v>
                </c:pt>
                <c:pt idx="32">
                  <c:v>0.18581232762491182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Req3!$C$120:$AI$120</c:f>
              <c:numCache>
                <c:ptCount val="33"/>
                <c:pt idx="0">
                  <c:v>0.021761236526337196</c:v>
                </c:pt>
                <c:pt idx="1">
                  <c:v>0.028386050283860504</c:v>
                </c:pt>
                <c:pt idx="2">
                  <c:v>0.03276353276353276</c:v>
                </c:pt>
                <c:pt idx="3">
                  <c:v>0.03491669620701879</c:v>
                </c:pt>
                <c:pt idx="4">
                  <c:v>0.03581075193865993</c:v>
                </c:pt>
                <c:pt idx="5">
                  <c:v>0.03266090297790586</c:v>
                </c:pt>
                <c:pt idx="6">
                  <c:v>0.02966137299386606</c:v>
                </c:pt>
                <c:pt idx="7">
                  <c:v>0.031031681559707557</c:v>
                </c:pt>
                <c:pt idx="8">
                  <c:v>0.030358939953035895</c:v>
                </c:pt>
                <c:pt idx="9">
                  <c:v>0.03440201729106628</c:v>
                </c:pt>
                <c:pt idx="10">
                  <c:v>0.033585726066421774</c:v>
                </c:pt>
                <c:pt idx="11">
                  <c:v>0.03518192017951595</c:v>
                </c:pt>
                <c:pt idx="12">
                  <c:v>0.03678247734138973</c:v>
                </c:pt>
                <c:pt idx="13">
                  <c:v>0.04064087534193044</c:v>
                </c:pt>
                <c:pt idx="14">
                  <c:v>0.04123796197217878</c:v>
                </c:pt>
                <c:pt idx="15">
                  <c:v>0.04052297576267299</c:v>
                </c:pt>
                <c:pt idx="16">
                  <c:v>0.04197094319317396</c:v>
                </c:pt>
                <c:pt idx="17">
                  <c:v>0.04032766225582861</c:v>
                </c:pt>
                <c:pt idx="18">
                  <c:v>0.04284522635929324</c:v>
                </c:pt>
                <c:pt idx="19">
                  <c:v>0.04461242033496369</c:v>
                </c:pt>
                <c:pt idx="20">
                  <c:v>0.045277246653919696</c:v>
                </c:pt>
                <c:pt idx="21">
                  <c:v>0.052048461661087196</c:v>
                </c:pt>
                <c:pt idx="22">
                  <c:v>0.060345440329803116</c:v>
                </c:pt>
                <c:pt idx="23">
                  <c:v>0.06531894329896908</c:v>
                </c:pt>
                <c:pt idx="24">
                  <c:v>0.07120130099695962</c:v>
                </c:pt>
                <c:pt idx="25">
                  <c:v>0.08058761804826862</c:v>
                </c:pt>
                <c:pt idx="26">
                  <c:v>0.08262215844724718</c:v>
                </c:pt>
                <c:pt idx="27">
                  <c:v>0.08825583019131407</c:v>
                </c:pt>
                <c:pt idx="28">
                  <c:v>0.0883441943127962</c:v>
                </c:pt>
                <c:pt idx="29">
                  <c:v>0.09233778497234588</c:v>
                </c:pt>
                <c:pt idx="30">
                  <c:v>0.09522113809557724</c:v>
                </c:pt>
                <c:pt idx="31">
                  <c:v>0.096343800678166</c:v>
                </c:pt>
                <c:pt idx="32">
                  <c:v>0.10114809826181771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0.002096611875209661</c:v>
                </c:pt>
                <c:pt idx="9">
                  <c:v>0.005763688760806916</c:v>
                </c:pt>
                <c:pt idx="10">
                  <c:v>0.011095284504085763</c:v>
                </c:pt>
                <c:pt idx="11">
                  <c:v>0.013944542394614522</c:v>
                </c:pt>
                <c:pt idx="12">
                  <c:v>0.018429003021148038</c:v>
                </c:pt>
                <c:pt idx="13">
                  <c:v>0.01922626025791325</c:v>
                </c:pt>
                <c:pt idx="14">
                  <c:v>0.021400938348835295</c:v>
                </c:pt>
                <c:pt idx="15">
                  <c:v>0.02125544766419451</c:v>
                </c:pt>
                <c:pt idx="16">
                  <c:v>0.022907218079790913</c:v>
                </c:pt>
                <c:pt idx="17">
                  <c:v>0.025362318840579712</c:v>
                </c:pt>
                <c:pt idx="18">
                  <c:v>0.025934632592704936</c:v>
                </c:pt>
                <c:pt idx="19">
                  <c:v>0.026900844819919965</c:v>
                </c:pt>
                <c:pt idx="20">
                  <c:v>0.028910133843212237</c:v>
                </c:pt>
                <c:pt idx="21">
                  <c:v>0.02965088474414156</c:v>
                </c:pt>
                <c:pt idx="22">
                  <c:v>0.03049257232212666</c:v>
                </c:pt>
                <c:pt idx="23">
                  <c:v>0.031894329896907214</c:v>
                </c:pt>
                <c:pt idx="24">
                  <c:v>0.03125220957364067</c:v>
                </c:pt>
                <c:pt idx="25">
                  <c:v>0.032598810772997554</c:v>
                </c:pt>
                <c:pt idx="26">
                  <c:v>0.03232384261007477</c:v>
                </c:pt>
                <c:pt idx="27">
                  <c:v>0.03281664571987153</c:v>
                </c:pt>
                <c:pt idx="28">
                  <c:v>0.03139810426540284</c:v>
                </c:pt>
                <c:pt idx="29">
                  <c:v>0.031296371239714016</c:v>
                </c:pt>
                <c:pt idx="30">
                  <c:v>0.031336799373264015</c:v>
                </c:pt>
                <c:pt idx="31">
                  <c:v>0.03073861123396727</c:v>
                </c:pt>
                <c:pt idx="32">
                  <c:v>0.03097941119876852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0.0006118546845124283</c:v>
                </c:pt>
                <c:pt idx="21">
                  <c:v>0.0032679738562091504</c:v>
                </c:pt>
                <c:pt idx="22">
                  <c:v>0.007534295259080248</c:v>
                </c:pt>
                <c:pt idx="23">
                  <c:v>0.009181701030927835</c:v>
                </c:pt>
                <c:pt idx="24">
                  <c:v>0.01498974757830729</c:v>
                </c:pt>
                <c:pt idx="25">
                  <c:v>0.015250087443161945</c:v>
                </c:pt>
                <c:pt idx="26">
                  <c:v>0.016161921305037383</c:v>
                </c:pt>
                <c:pt idx="27">
                  <c:v>0.017665130568356373</c:v>
                </c:pt>
                <c:pt idx="28">
                  <c:v>0.019623815165876777</c:v>
                </c:pt>
                <c:pt idx="29">
                  <c:v>0.018615944961554026</c:v>
                </c:pt>
                <c:pt idx="30">
                  <c:v>0.02015525959689481</c:v>
                </c:pt>
                <c:pt idx="31">
                  <c:v>0.022408963585434174</c:v>
                </c:pt>
                <c:pt idx="32">
                  <c:v>0.022705406965557052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Req3!$C$123:$AI$123</c:f>
              <c:numCache>
                <c:ptCount val="33"/>
                <c:pt idx="0">
                  <c:v>0.003965832824893227</c:v>
                </c:pt>
                <c:pt idx="1">
                  <c:v>0.0023519870235198703</c:v>
                </c:pt>
                <c:pt idx="2">
                  <c:v>0.003116096866096866</c:v>
                </c:pt>
                <c:pt idx="3">
                  <c:v>0.0027472527472527475</c:v>
                </c:pt>
                <c:pt idx="4">
                  <c:v>0.0025267927158665157</c:v>
                </c:pt>
                <c:pt idx="5">
                  <c:v>0.002357872674875557</c:v>
                </c:pt>
                <c:pt idx="6">
                  <c:v>0.0021006638097638853</c:v>
                </c:pt>
                <c:pt idx="7">
                  <c:v>0.0026807473598700242</c:v>
                </c:pt>
                <c:pt idx="8">
                  <c:v>0.0020127474002012745</c:v>
                </c:pt>
                <c:pt idx="9">
                  <c:v>0.0023414985590778097</c:v>
                </c:pt>
                <c:pt idx="10">
                  <c:v>0.002698852987480321</c:v>
                </c:pt>
                <c:pt idx="11">
                  <c:v>0.002404231447347331</c:v>
                </c:pt>
                <c:pt idx="12">
                  <c:v>0.0021148036253776435</c:v>
                </c:pt>
                <c:pt idx="13">
                  <c:v>0.0022665103556076594</c:v>
                </c:pt>
                <c:pt idx="14">
                  <c:v>0.0025516503415919005</c:v>
                </c:pt>
                <c:pt idx="15">
                  <c:v>0.0026760455692331217</c:v>
                </c:pt>
                <c:pt idx="16">
                  <c:v>0.0019986163425320933</c:v>
                </c:pt>
                <c:pt idx="17">
                  <c:v>0.0029143037177063644</c:v>
                </c:pt>
                <c:pt idx="18">
                  <c:v>0.0023508000303329034</c:v>
                </c:pt>
                <c:pt idx="19">
                  <c:v>0.0025196383577886466</c:v>
                </c:pt>
                <c:pt idx="20">
                  <c:v>0.002829827915869981</c:v>
                </c:pt>
                <c:pt idx="21">
                  <c:v>0.0020723736649131195</c:v>
                </c:pt>
                <c:pt idx="22">
                  <c:v>0.0025588172578008385</c:v>
                </c:pt>
                <c:pt idx="23">
                  <c:v>0.002416237113402062</c:v>
                </c:pt>
                <c:pt idx="24">
                  <c:v>0.002050484338542035</c:v>
                </c:pt>
                <c:pt idx="25">
                  <c:v>0.002658272123119972</c:v>
                </c:pt>
                <c:pt idx="26">
                  <c:v>0.002114643909070312</c:v>
                </c:pt>
                <c:pt idx="27">
                  <c:v>0.0024437927663734115</c:v>
                </c:pt>
                <c:pt idx="28">
                  <c:v>0.002221563981042654</c:v>
                </c:pt>
                <c:pt idx="29">
                  <c:v>0.0024281667341157424</c:v>
                </c:pt>
                <c:pt idx="30">
                  <c:v>0.002635139947297201</c:v>
                </c:pt>
                <c:pt idx="31">
                  <c:v>0.0024325519681556835</c:v>
                </c:pt>
                <c:pt idx="32">
                  <c:v>0.002565582707972548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Req3!$C$124:$AI$124</c:f>
              <c:numCache>
                <c:ptCount val="33"/>
                <c:pt idx="0">
                  <c:v>0.2435428106569046</c:v>
                </c:pt>
                <c:pt idx="1">
                  <c:v>0.2383617193836172</c:v>
                </c:pt>
                <c:pt idx="2">
                  <c:v>0.245014245014245</c:v>
                </c:pt>
                <c:pt idx="3">
                  <c:v>0.23449131513647642</c:v>
                </c:pt>
                <c:pt idx="4">
                  <c:v>0.23595016119194911</c:v>
                </c:pt>
                <c:pt idx="5">
                  <c:v>0.23500130992926382</c:v>
                </c:pt>
                <c:pt idx="6">
                  <c:v>0.23552642635072682</c:v>
                </c:pt>
                <c:pt idx="7">
                  <c:v>0.23623070674248578</c:v>
                </c:pt>
                <c:pt idx="8">
                  <c:v>0.23121435759812142</c:v>
                </c:pt>
                <c:pt idx="9">
                  <c:v>0.23432997118155618</c:v>
                </c:pt>
                <c:pt idx="10">
                  <c:v>0.22580403328585352</c:v>
                </c:pt>
                <c:pt idx="11">
                  <c:v>0.2277608591120372</c:v>
                </c:pt>
                <c:pt idx="12">
                  <c:v>0.2226586102719033</c:v>
                </c:pt>
                <c:pt idx="13">
                  <c:v>0.2246189917936694</c:v>
                </c:pt>
                <c:pt idx="14">
                  <c:v>0.22289900403325377</c:v>
                </c:pt>
                <c:pt idx="15">
                  <c:v>0.22142365624283203</c:v>
                </c:pt>
                <c:pt idx="16">
                  <c:v>0.21861787992927972</c:v>
                </c:pt>
                <c:pt idx="17">
                  <c:v>0.21936042848141146</c:v>
                </c:pt>
                <c:pt idx="18">
                  <c:v>0.22029271251990598</c:v>
                </c:pt>
                <c:pt idx="19">
                  <c:v>0.21846746702238032</c:v>
                </c:pt>
                <c:pt idx="20">
                  <c:v>0.2182791586998088</c:v>
                </c:pt>
                <c:pt idx="21">
                  <c:v>0.2127371273712737</c:v>
                </c:pt>
                <c:pt idx="22">
                  <c:v>0.21323477148340322</c:v>
                </c:pt>
                <c:pt idx="23">
                  <c:v>0.20884342783505155</c:v>
                </c:pt>
                <c:pt idx="24">
                  <c:v>0.20236159230714842</c:v>
                </c:pt>
                <c:pt idx="25">
                  <c:v>0.20713536201469046</c:v>
                </c:pt>
                <c:pt idx="26">
                  <c:v>0.20799033305641568</c:v>
                </c:pt>
                <c:pt idx="27">
                  <c:v>0.20444072056975282</c:v>
                </c:pt>
                <c:pt idx="28">
                  <c:v>0.1997186018957346</c:v>
                </c:pt>
                <c:pt idx="29">
                  <c:v>0.2038985565897747</c:v>
                </c:pt>
                <c:pt idx="30">
                  <c:v>0.1989886760202265</c:v>
                </c:pt>
                <c:pt idx="31">
                  <c:v>0.20234409553295002</c:v>
                </c:pt>
                <c:pt idx="32">
                  <c:v>0.19960233468026425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0.00012827913539862742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Req3!$C$127:$AI$127</c:f>
              <c:numCache>
                <c:ptCount val="33"/>
                <c:pt idx="0">
                  <c:v>0.44610534878991254</c:v>
                </c:pt>
                <c:pt idx="1">
                  <c:v>0.4502027575020276</c:v>
                </c:pt>
                <c:pt idx="2">
                  <c:v>0.44355413105413105</c:v>
                </c:pt>
                <c:pt idx="3">
                  <c:v>0.45152428216944346</c:v>
                </c:pt>
                <c:pt idx="4">
                  <c:v>0.44567395660886994</c:v>
                </c:pt>
                <c:pt idx="5">
                  <c:v>0.44904375163741156</c:v>
                </c:pt>
                <c:pt idx="6">
                  <c:v>0.4459289135366776</c:v>
                </c:pt>
                <c:pt idx="7">
                  <c:v>0.44281072298943946</c:v>
                </c:pt>
                <c:pt idx="8">
                  <c:v>0.4496813149949681</c:v>
                </c:pt>
                <c:pt idx="9">
                  <c:v>0.43686959654178675</c:v>
                </c:pt>
                <c:pt idx="10">
                  <c:v>0.438488642327011</c:v>
                </c:pt>
                <c:pt idx="11">
                  <c:v>0.4410963295399904</c:v>
                </c:pt>
                <c:pt idx="12">
                  <c:v>0.43285498489425983</c:v>
                </c:pt>
                <c:pt idx="13">
                  <c:v>0.4289957014458773</c:v>
                </c:pt>
                <c:pt idx="14">
                  <c:v>0.4308996625236645</c:v>
                </c:pt>
                <c:pt idx="15">
                  <c:v>0.4351250095573056</c:v>
                </c:pt>
                <c:pt idx="16">
                  <c:v>0.43608271196863707</c:v>
                </c:pt>
                <c:pt idx="17">
                  <c:v>0.43832703213610585</c:v>
                </c:pt>
                <c:pt idx="18">
                  <c:v>0.4340638507621142</c:v>
                </c:pt>
                <c:pt idx="19">
                  <c:v>0.43515636579220396</c:v>
                </c:pt>
                <c:pt idx="20">
                  <c:v>0.4364053537284895</c:v>
                </c:pt>
                <c:pt idx="21">
                  <c:v>0.4293001753546947</c:v>
                </c:pt>
                <c:pt idx="22">
                  <c:v>0.4229156301087497</c:v>
                </c:pt>
                <c:pt idx="23">
                  <c:v>0.4254188144329897</c:v>
                </c:pt>
                <c:pt idx="24">
                  <c:v>0.4169553842890476</c:v>
                </c:pt>
                <c:pt idx="25">
                  <c:v>0.4100034977264778</c:v>
                </c:pt>
                <c:pt idx="26">
                  <c:v>0.40721999848954005</c:v>
                </c:pt>
                <c:pt idx="27">
                  <c:v>0.4032956291020807</c:v>
                </c:pt>
                <c:pt idx="28">
                  <c:v>0.4121001184834123</c:v>
                </c:pt>
                <c:pt idx="29">
                  <c:v>0.40928099285039793</c:v>
                </c:pt>
                <c:pt idx="30">
                  <c:v>0.41101061177978776</c:v>
                </c:pt>
                <c:pt idx="31">
                  <c:v>0.4071207430340557</c:v>
                </c:pt>
                <c:pt idx="32">
                  <c:v>0.4085690462446283</c:v>
                </c:pt>
              </c:numCache>
            </c:numRef>
          </c:val>
          <c:smooth val="0"/>
        </c:ser>
        <c:marker val="1"/>
        <c:axId val="53996713"/>
        <c:axId val="16208370"/>
      </c:lineChart>
      <c:date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0"/>
        <c:noMultiLvlLbl val="0"/>
      </c:date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Req3!$C$97:$AI$97</c:f>
              <c:numCache>
                <c:ptCount val="33"/>
                <c:pt idx="0">
                  <c:v>1395</c:v>
                </c:pt>
                <c:pt idx="1">
                  <c:v>1833</c:v>
                </c:pt>
                <c:pt idx="2">
                  <c:v>1601</c:v>
                </c:pt>
                <c:pt idx="3">
                  <c:v>1658</c:v>
                </c:pt>
                <c:pt idx="4">
                  <c:v>1613</c:v>
                </c:pt>
                <c:pt idx="5">
                  <c:v>1606</c:v>
                </c:pt>
                <c:pt idx="6">
                  <c:v>1683</c:v>
                </c:pt>
                <c:pt idx="7">
                  <c:v>1733</c:v>
                </c:pt>
                <c:pt idx="8">
                  <c:v>1652</c:v>
                </c:pt>
                <c:pt idx="9">
                  <c:v>1489</c:v>
                </c:pt>
                <c:pt idx="10">
                  <c:v>1787</c:v>
                </c:pt>
                <c:pt idx="11">
                  <c:v>1658</c:v>
                </c:pt>
                <c:pt idx="12">
                  <c:v>1765</c:v>
                </c:pt>
                <c:pt idx="13">
                  <c:v>1708</c:v>
                </c:pt>
                <c:pt idx="14">
                  <c:v>1658</c:v>
                </c:pt>
                <c:pt idx="15">
                  <c:v>1849</c:v>
                </c:pt>
                <c:pt idx="16">
                  <c:v>1864</c:v>
                </c:pt>
                <c:pt idx="17">
                  <c:v>1913</c:v>
                </c:pt>
                <c:pt idx="18">
                  <c:v>1948</c:v>
                </c:pt>
                <c:pt idx="19">
                  <c:v>2054</c:v>
                </c:pt>
                <c:pt idx="20">
                  <c:v>1993</c:v>
                </c:pt>
                <c:pt idx="21">
                  <c:v>1880</c:v>
                </c:pt>
                <c:pt idx="22">
                  <c:v>2128</c:v>
                </c:pt>
                <c:pt idx="23">
                  <c:v>1883</c:v>
                </c:pt>
                <c:pt idx="24">
                  <c:v>2157</c:v>
                </c:pt>
                <c:pt idx="25">
                  <c:v>2097</c:v>
                </c:pt>
                <c:pt idx="26">
                  <c:v>2001</c:v>
                </c:pt>
                <c:pt idx="27">
                  <c:v>2083</c:v>
                </c:pt>
                <c:pt idx="28">
                  <c:v>2044</c:v>
                </c:pt>
                <c:pt idx="29">
                  <c:v>2262</c:v>
                </c:pt>
                <c:pt idx="30">
                  <c:v>2137</c:v>
                </c:pt>
                <c:pt idx="31">
                  <c:v>2060</c:v>
                </c:pt>
                <c:pt idx="32">
                  <c:v>2364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Req3!$C$98:$AI$98</c:f>
              <c:numCache>
                <c:ptCount val="33"/>
                <c:pt idx="0">
                  <c:v>2992</c:v>
                </c:pt>
                <c:pt idx="1">
                  <c:v>3718</c:v>
                </c:pt>
                <c:pt idx="2">
                  <c:v>3381</c:v>
                </c:pt>
                <c:pt idx="3">
                  <c:v>3437</c:v>
                </c:pt>
                <c:pt idx="4">
                  <c:v>3502</c:v>
                </c:pt>
                <c:pt idx="5">
                  <c:v>3536</c:v>
                </c:pt>
                <c:pt idx="6">
                  <c:v>3624</c:v>
                </c:pt>
                <c:pt idx="7">
                  <c:v>3718</c:v>
                </c:pt>
                <c:pt idx="8">
                  <c:v>3710</c:v>
                </c:pt>
                <c:pt idx="9">
                  <c:v>3362</c:v>
                </c:pt>
                <c:pt idx="10">
                  <c:v>4062</c:v>
                </c:pt>
                <c:pt idx="11">
                  <c:v>3846</c:v>
                </c:pt>
                <c:pt idx="12">
                  <c:v>3966</c:v>
                </c:pt>
                <c:pt idx="13">
                  <c:v>3781</c:v>
                </c:pt>
                <c:pt idx="14">
                  <c:v>3577</c:v>
                </c:pt>
                <c:pt idx="15">
                  <c:v>3842</c:v>
                </c:pt>
                <c:pt idx="16">
                  <c:v>3809</c:v>
                </c:pt>
                <c:pt idx="17">
                  <c:v>3652</c:v>
                </c:pt>
                <c:pt idx="18">
                  <c:v>3776</c:v>
                </c:pt>
                <c:pt idx="19">
                  <c:v>3818</c:v>
                </c:pt>
                <c:pt idx="20">
                  <c:v>3713</c:v>
                </c:pt>
                <c:pt idx="21">
                  <c:v>3506</c:v>
                </c:pt>
                <c:pt idx="22">
                  <c:v>3822</c:v>
                </c:pt>
                <c:pt idx="23">
                  <c:v>3399</c:v>
                </c:pt>
                <c:pt idx="24">
                  <c:v>3740</c:v>
                </c:pt>
                <c:pt idx="25">
                  <c:v>3754</c:v>
                </c:pt>
                <c:pt idx="26">
                  <c:v>3375</c:v>
                </c:pt>
                <c:pt idx="27">
                  <c:v>3670</c:v>
                </c:pt>
                <c:pt idx="28">
                  <c:v>3486</c:v>
                </c:pt>
                <c:pt idx="29">
                  <c:v>3743</c:v>
                </c:pt>
                <c:pt idx="30">
                  <c:v>3549</c:v>
                </c:pt>
                <c:pt idx="31">
                  <c:v>3362</c:v>
                </c:pt>
                <c:pt idx="32">
                  <c:v>3886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35</c:v>
                </c:pt>
                <c:pt idx="29">
                  <c:v>63</c:v>
                </c:pt>
                <c:pt idx="30">
                  <c:v>85</c:v>
                </c:pt>
                <c:pt idx="31">
                  <c:v>101</c:v>
                </c:pt>
                <c:pt idx="32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Req3!$C$100:$AI$100</c:f>
              <c:numCache>
                <c:ptCount val="33"/>
                <c:pt idx="0">
                  <c:v>664</c:v>
                </c:pt>
                <c:pt idx="1">
                  <c:v>820</c:v>
                </c:pt>
                <c:pt idx="2">
                  <c:v>714</c:v>
                </c:pt>
                <c:pt idx="3">
                  <c:v>743</c:v>
                </c:pt>
                <c:pt idx="4">
                  <c:v>762</c:v>
                </c:pt>
                <c:pt idx="5">
                  <c:v>760</c:v>
                </c:pt>
                <c:pt idx="6">
                  <c:v>806</c:v>
                </c:pt>
                <c:pt idx="7">
                  <c:v>858</c:v>
                </c:pt>
                <c:pt idx="8">
                  <c:v>795</c:v>
                </c:pt>
                <c:pt idx="9">
                  <c:v>749</c:v>
                </c:pt>
                <c:pt idx="10">
                  <c:v>927</c:v>
                </c:pt>
                <c:pt idx="11">
                  <c:v>812</c:v>
                </c:pt>
                <c:pt idx="12">
                  <c:v>934</c:v>
                </c:pt>
                <c:pt idx="13">
                  <c:v>851</c:v>
                </c:pt>
                <c:pt idx="14">
                  <c:v>787</c:v>
                </c:pt>
                <c:pt idx="15">
                  <c:v>858</c:v>
                </c:pt>
                <c:pt idx="16">
                  <c:v>814</c:v>
                </c:pt>
                <c:pt idx="17">
                  <c:v>812</c:v>
                </c:pt>
                <c:pt idx="18">
                  <c:v>835</c:v>
                </c:pt>
                <c:pt idx="19">
                  <c:v>822</c:v>
                </c:pt>
                <c:pt idx="20">
                  <c:v>827</c:v>
                </c:pt>
                <c:pt idx="21">
                  <c:v>797</c:v>
                </c:pt>
                <c:pt idx="22">
                  <c:v>830</c:v>
                </c:pt>
                <c:pt idx="23">
                  <c:v>742</c:v>
                </c:pt>
                <c:pt idx="24">
                  <c:v>835</c:v>
                </c:pt>
                <c:pt idx="25">
                  <c:v>799</c:v>
                </c:pt>
                <c:pt idx="26">
                  <c:v>738</c:v>
                </c:pt>
                <c:pt idx="27">
                  <c:v>777</c:v>
                </c:pt>
                <c:pt idx="28">
                  <c:v>715</c:v>
                </c:pt>
                <c:pt idx="29">
                  <c:v>777</c:v>
                </c:pt>
                <c:pt idx="30">
                  <c:v>709</c:v>
                </c:pt>
                <c:pt idx="31">
                  <c:v>686</c:v>
                </c:pt>
                <c:pt idx="32">
                  <c:v>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Req3!$C$101:$AI$101</c:f>
              <c:numCache>
                <c:ptCount val="33"/>
                <c:pt idx="0">
                  <c:v>2135</c:v>
                </c:pt>
                <c:pt idx="1">
                  <c:v>2641</c:v>
                </c:pt>
                <c:pt idx="2">
                  <c:v>2381</c:v>
                </c:pt>
                <c:pt idx="3">
                  <c:v>2375</c:v>
                </c:pt>
                <c:pt idx="4">
                  <c:v>2452</c:v>
                </c:pt>
                <c:pt idx="5">
                  <c:v>2457</c:v>
                </c:pt>
                <c:pt idx="6">
                  <c:v>2607</c:v>
                </c:pt>
                <c:pt idx="7">
                  <c:v>2678</c:v>
                </c:pt>
                <c:pt idx="8">
                  <c:v>2599</c:v>
                </c:pt>
                <c:pt idx="9">
                  <c:v>2430</c:v>
                </c:pt>
                <c:pt idx="10">
                  <c:v>2919</c:v>
                </c:pt>
                <c:pt idx="11">
                  <c:v>2677</c:v>
                </c:pt>
                <c:pt idx="12">
                  <c:v>2868</c:v>
                </c:pt>
                <c:pt idx="13">
                  <c:v>2786</c:v>
                </c:pt>
                <c:pt idx="14">
                  <c:v>2627</c:v>
                </c:pt>
                <c:pt idx="15">
                  <c:v>2791</c:v>
                </c:pt>
                <c:pt idx="16">
                  <c:v>2808</c:v>
                </c:pt>
                <c:pt idx="17">
                  <c:v>2663</c:v>
                </c:pt>
                <c:pt idx="18">
                  <c:v>2785</c:v>
                </c:pt>
                <c:pt idx="19">
                  <c:v>2853</c:v>
                </c:pt>
                <c:pt idx="20">
                  <c:v>2673</c:v>
                </c:pt>
                <c:pt idx="21">
                  <c:v>2602</c:v>
                </c:pt>
                <c:pt idx="22">
                  <c:v>2869</c:v>
                </c:pt>
                <c:pt idx="23">
                  <c:v>2448</c:v>
                </c:pt>
                <c:pt idx="24">
                  <c:v>2859</c:v>
                </c:pt>
                <c:pt idx="25">
                  <c:v>2800</c:v>
                </c:pt>
                <c:pt idx="26">
                  <c:v>2593</c:v>
                </c:pt>
                <c:pt idx="27">
                  <c:v>2819</c:v>
                </c:pt>
                <c:pt idx="28">
                  <c:v>2615</c:v>
                </c:pt>
                <c:pt idx="29">
                  <c:v>2813</c:v>
                </c:pt>
                <c:pt idx="30">
                  <c:v>2670</c:v>
                </c:pt>
                <c:pt idx="31">
                  <c:v>2551</c:v>
                </c:pt>
                <c:pt idx="32">
                  <c:v>2897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Req3!$C$102:$AI$102</c:f>
              <c:numCache>
                <c:ptCount val="33"/>
                <c:pt idx="0">
                  <c:v>214</c:v>
                </c:pt>
                <c:pt idx="1">
                  <c:v>350</c:v>
                </c:pt>
                <c:pt idx="2">
                  <c:v>368</c:v>
                </c:pt>
                <c:pt idx="3">
                  <c:v>394</c:v>
                </c:pt>
                <c:pt idx="4">
                  <c:v>411</c:v>
                </c:pt>
                <c:pt idx="5">
                  <c:v>374</c:v>
                </c:pt>
                <c:pt idx="6">
                  <c:v>353</c:v>
                </c:pt>
                <c:pt idx="7">
                  <c:v>382</c:v>
                </c:pt>
                <c:pt idx="8">
                  <c:v>362</c:v>
                </c:pt>
                <c:pt idx="9">
                  <c:v>382</c:v>
                </c:pt>
                <c:pt idx="10">
                  <c:v>448</c:v>
                </c:pt>
                <c:pt idx="11">
                  <c:v>439</c:v>
                </c:pt>
                <c:pt idx="12">
                  <c:v>487</c:v>
                </c:pt>
                <c:pt idx="13">
                  <c:v>520</c:v>
                </c:pt>
                <c:pt idx="14">
                  <c:v>501</c:v>
                </c:pt>
                <c:pt idx="15">
                  <c:v>530</c:v>
                </c:pt>
                <c:pt idx="16">
                  <c:v>546</c:v>
                </c:pt>
                <c:pt idx="17">
                  <c:v>512</c:v>
                </c:pt>
                <c:pt idx="18">
                  <c:v>565</c:v>
                </c:pt>
                <c:pt idx="19">
                  <c:v>602</c:v>
                </c:pt>
                <c:pt idx="20">
                  <c:v>592</c:v>
                </c:pt>
                <c:pt idx="21">
                  <c:v>653</c:v>
                </c:pt>
                <c:pt idx="22">
                  <c:v>849</c:v>
                </c:pt>
                <c:pt idx="23">
                  <c:v>811</c:v>
                </c:pt>
                <c:pt idx="24">
                  <c:v>1007</c:v>
                </c:pt>
                <c:pt idx="25">
                  <c:v>1152</c:v>
                </c:pt>
                <c:pt idx="26">
                  <c:v>1094</c:v>
                </c:pt>
                <c:pt idx="27">
                  <c:v>1264</c:v>
                </c:pt>
                <c:pt idx="28">
                  <c:v>1193</c:v>
                </c:pt>
                <c:pt idx="29">
                  <c:v>1369</c:v>
                </c:pt>
                <c:pt idx="30">
                  <c:v>1337</c:v>
                </c:pt>
                <c:pt idx="31">
                  <c:v>1307</c:v>
                </c:pt>
                <c:pt idx="32">
                  <c:v>1577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64</c:v>
                </c:pt>
                <c:pt idx="10">
                  <c:v>148</c:v>
                </c:pt>
                <c:pt idx="11">
                  <c:v>174</c:v>
                </c:pt>
                <c:pt idx="12">
                  <c:v>244</c:v>
                </c:pt>
                <c:pt idx="13">
                  <c:v>246</c:v>
                </c:pt>
                <c:pt idx="14">
                  <c:v>260</c:v>
                </c:pt>
                <c:pt idx="15">
                  <c:v>278</c:v>
                </c:pt>
                <c:pt idx="16">
                  <c:v>298</c:v>
                </c:pt>
                <c:pt idx="17">
                  <c:v>322</c:v>
                </c:pt>
                <c:pt idx="18">
                  <c:v>342</c:v>
                </c:pt>
                <c:pt idx="19">
                  <c:v>363</c:v>
                </c:pt>
                <c:pt idx="20">
                  <c:v>378</c:v>
                </c:pt>
                <c:pt idx="21">
                  <c:v>372</c:v>
                </c:pt>
                <c:pt idx="22">
                  <c:v>429</c:v>
                </c:pt>
                <c:pt idx="23">
                  <c:v>396</c:v>
                </c:pt>
                <c:pt idx="24">
                  <c:v>442</c:v>
                </c:pt>
                <c:pt idx="25">
                  <c:v>466</c:v>
                </c:pt>
                <c:pt idx="26">
                  <c:v>428</c:v>
                </c:pt>
                <c:pt idx="27">
                  <c:v>470</c:v>
                </c:pt>
                <c:pt idx="28">
                  <c:v>424</c:v>
                </c:pt>
                <c:pt idx="29">
                  <c:v>464</c:v>
                </c:pt>
                <c:pt idx="30">
                  <c:v>440</c:v>
                </c:pt>
                <c:pt idx="31">
                  <c:v>417</c:v>
                </c:pt>
                <c:pt idx="32">
                  <c:v>483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41</c:v>
                </c:pt>
                <c:pt idx="22">
                  <c:v>106</c:v>
                </c:pt>
                <c:pt idx="23">
                  <c:v>114</c:v>
                </c:pt>
                <c:pt idx="24">
                  <c:v>212</c:v>
                </c:pt>
                <c:pt idx="25">
                  <c:v>218</c:v>
                </c:pt>
                <c:pt idx="26">
                  <c:v>214</c:v>
                </c:pt>
                <c:pt idx="27">
                  <c:v>253</c:v>
                </c:pt>
                <c:pt idx="28">
                  <c:v>265</c:v>
                </c:pt>
                <c:pt idx="29">
                  <c:v>276</c:v>
                </c:pt>
                <c:pt idx="30">
                  <c:v>283</c:v>
                </c:pt>
                <c:pt idx="31">
                  <c:v>304</c:v>
                </c:pt>
                <c:pt idx="32">
                  <c:v>354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Req3!$C$105:$AI$105</c:f>
              <c:numCache>
                <c:ptCount val="33"/>
                <c:pt idx="0">
                  <c:v>39</c:v>
                </c:pt>
                <c:pt idx="1">
                  <c:v>29</c:v>
                </c:pt>
                <c:pt idx="2">
                  <c:v>35</c:v>
                </c:pt>
                <c:pt idx="3">
                  <c:v>31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26</c:v>
                </c:pt>
                <c:pt idx="10">
                  <c:v>36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31</c:v>
                </c:pt>
                <c:pt idx="15">
                  <c:v>35</c:v>
                </c:pt>
                <c:pt idx="16">
                  <c:v>26</c:v>
                </c:pt>
                <c:pt idx="17">
                  <c:v>37</c:v>
                </c:pt>
                <c:pt idx="18">
                  <c:v>31</c:v>
                </c:pt>
                <c:pt idx="19">
                  <c:v>34</c:v>
                </c:pt>
                <c:pt idx="20">
                  <c:v>37</c:v>
                </c:pt>
                <c:pt idx="21">
                  <c:v>26</c:v>
                </c:pt>
                <c:pt idx="22">
                  <c:v>36</c:v>
                </c:pt>
                <c:pt idx="23">
                  <c:v>30</c:v>
                </c:pt>
                <c:pt idx="24">
                  <c:v>29</c:v>
                </c:pt>
                <c:pt idx="25">
                  <c:v>38</c:v>
                </c:pt>
                <c:pt idx="26">
                  <c:v>28</c:v>
                </c:pt>
                <c:pt idx="27">
                  <c:v>35</c:v>
                </c:pt>
                <c:pt idx="28">
                  <c:v>30</c:v>
                </c:pt>
                <c:pt idx="29">
                  <c:v>36</c:v>
                </c:pt>
                <c:pt idx="30">
                  <c:v>37</c:v>
                </c:pt>
                <c:pt idx="31">
                  <c:v>33</c:v>
                </c:pt>
                <c:pt idx="32">
                  <c:v>40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Req3!$C$106:$AI$106</c:f>
              <c:numCache>
                <c:ptCount val="33"/>
                <c:pt idx="0">
                  <c:v>2395</c:v>
                </c:pt>
                <c:pt idx="1">
                  <c:v>2939</c:v>
                </c:pt>
                <c:pt idx="2">
                  <c:v>2752</c:v>
                </c:pt>
                <c:pt idx="3">
                  <c:v>2646</c:v>
                </c:pt>
                <c:pt idx="4">
                  <c:v>2708</c:v>
                </c:pt>
                <c:pt idx="5">
                  <c:v>2691</c:v>
                </c:pt>
                <c:pt idx="6">
                  <c:v>2803</c:v>
                </c:pt>
                <c:pt idx="7">
                  <c:v>2908</c:v>
                </c:pt>
                <c:pt idx="8">
                  <c:v>2757</c:v>
                </c:pt>
                <c:pt idx="9">
                  <c:v>2602</c:v>
                </c:pt>
                <c:pt idx="10">
                  <c:v>3012</c:v>
                </c:pt>
                <c:pt idx="11">
                  <c:v>2842</c:v>
                </c:pt>
                <c:pt idx="12">
                  <c:v>2948</c:v>
                </c:pt>
                <c:pt idx="13">
                  <c:v>2874</c:v>
                </c:pt>
                <c:pt idx="14">
                  <c:v>2708</c:v>
                </c:pt>
                <c:pt idx="15">
                  <c:v>2896</c:v>
                </c:pt>
                <c:pt idx="16">
                  <c:v>2844</c:v>
                </c:pt>
                <c:pt idx="17">
                  <c:v>2785</c:v>
                </c:pt>
                <c:pt idx="18">
                  <c:v>2905</c:v>
                </c:pt>
                <c:pt idx="19">
                  <c:v>2948</c:v>
                </c:pt>
                <c:pt idx="20">
                  <c:v>2854</c:v>
                </c:pt>
                <c:pt idx="21">
                  <c:v>2669</c:v>
                </c:pt>
                <c:pt idx="22">
                  <c:v>3000</c:v>
                </c:pt>
                <c:pt idx="23">
                  <c:v>2593</c:v>
                </c:pt>
                <c:pt idx="24">
                  <c:v>2862</c:v>
                </c:pt>
                <c:pt idx="25">
                  <c:v>2961</c:v>
                </c:pt>
                <c:pt idx="26">
                  <c:v>2754</c:v>
                </c:pt>
                <c:pt idx="27">
                  <c:v>2928</c:v>
                </c:pt>
                <c:pt idx="28">
                  <c:v>2697</c:v>
                </c:pt>
                <c:pt idx="29">
                  <c:v>3023</c:v>
                </c:pt>
                <c:pt idx="30">
                  <c:v>2794</c:v>
                </c:pt>
                <c:pt idx="31">
                  <c:v>2745</c:v>
                </c:pt>
                <c:pt idx="32">
                  <c:v>3112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Req3!$C$109:$AI$109</c:f>
              <c:numCache>
                <c:ptCount val="33"/>
                <c:pt idx="0">
                  <c:v>4387</c:v>
                </c:pt>
                <c:pt idx="1">
                  <c:v>5551</c:v>
                </c:pt>
                <c:pt idx="2">
                  <c:v>4982</c:v>
                </c:pt>
                <c:pt idx="3">
                  <c:v>5095</c:v>
                </c:pt>
                <c:pt idx="4">
                  <c:v>5115</c:v>
                </c:pt>
                <c:pt idx="5">
                  <c:v>5142</c:v>
                </c:pt>
                <c:pt idx="6">
                  <c:v>5307</c:v>
                </c:pt>
                <c:pt idx="7">
                  <c:v>5451</c:v>
                </c:pt>
                <c:pt idx="8">
                  <c:v>5362</c:v>
                </c:pt>
                <c:pt idx="9">
                  <c:v>4851</c:v>
                </c:pt>
                <c:pt idx="10">
                  <c:v>5849</c:v>
                </c:pt>
                <c:pt idx="11">
                  <c:v>5504</c:v>
                </c:pt>
                <c:pt idx="12">
                  <c:v>5731</c:v>
                </c:pt>
                <c:pt idx="13">
                  <c:v>5489</c:v>
                </c:pt>
                <c:pt idx="14">
                  <c:v>5235</c:v>
                </c:pt>
                <c:pt idx="15">
                  <c:v>5691</c:v>
                </c:pt>
                <c:pt idx="16">
                  <c:v>5673</c:v>
                </c:pt>
                <c:pt idx="17">
                  <c:v>5565</c:v>
                </c:pt>
                <c:pt idx="18">
                  <c:v>5724</c:v>
                </c:pt>
                <c:pt idx="19">
                  <c:v>5872</c:v>
                </c:pt>
                <c:pt idx="20">
                  <c:v>5706</c:v>
                </c:pt>
                <c:pt idx="21">
                  <c:v>5386</c:v>
                </c:pt>
                <c:pt idx="22">
                  <c:v>5950</c:v>
                </c:pt>
                <c:pt idx="23">
                  <c:v>5282</c:v>
                </c:pt>
                <c:pt idx="24">
                  <c:v>5897</c:v>
                </c:pt>
                <c:pt idx="25">
                  <c:v>5861</c:v>
                </c:pt>
                <c:pt idx="26">
                  <c:v>5392</c:v>
                </c:pt>
                <c:pt idx="27">
                  <c:v>5776</c:v>
                </c:pt>
                <c:pt idx="28">
                  <c:v>5565</c:v>
                </c:pt>
                <c:pt idx="29">
                  <c:v>6068</c:v>
                </c:pt>
                <c:pt idx="30">
                  <c:v>5771</c:v>
                </c:pt>
                <c:pt idx="31">
                  <c:v>5523</c:v>
                </c:pt>
                <c:pt idx="32">
                  <c:v>6370</c:v>
                </c:pt>
              </c:numCache>
            </c:numRef>
          </c:val>
          <c:smooth val="0"/>
        </c:ser>
        <c:marker val="1"/>
        <c:axId val="11657603"/>
        <c:axId val="37809564"/>
      </c:lineChart>
      <c:date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0"/>
        <c:noMultiLvlLbl val="0"/>
      </c:dateAx>
      <c:valAx>
        <c:axId val="37809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Req3!$C$133:$AI$133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0.00044464206313917296</c:v>
                </c:pt>
                <c:pt idx="20">
                  <c:v>0.0003824091778202677</c:v>
                </c:pt>
                <c:pt idx="21">
                  <c:v>0.0010361868324565598</c:v>
                </c:pt>
                <c:pt idx="22">
                  <c:v>0.0013504868860615537</c:v>
                </c:pt>
                <c:pt idx="23">
                  <c:v>0.001208118556701031</c:v>
                </c:pt>
                <c:pt idx="24">
                  <c:v>0.001909071625539136</c:v>
                </c:pt>
                <c:pt idx="25">
                  <c:v>0.002098635886673662</c:v>
                </c:pt>
                <c:pt idx="26">
                  <c:v>0.0024922588928328678</c:v>
                </c:pt>
                <c:pt idx="27">
                  <c:v>0.0021645021645021645</c:v>
                </c:pt>
                <c:pt idx="28">
                  <c:v>0.002665876777251185</c:v>
                </c:pt>
                <c:pt idx="29">
                  <c:v>0.002360717658168083</c:v>
                </c:pt>
                <c:pt idx="30">
                  <c:v>0.003204899935902001</c:v>
                </c:pt>
                <c:pt idx="31">
                  <c:v>0.0012531328320802004</c:v>
                </c:pt>
                <c:pt idx="32">
                  <c:v>0.0029504201141684304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Req3!$C$134:$AI$134</c:f>
              <c:numCache>
                <c:ptCount val="33"/>
                <c:pt idx="0">
                  <c:v>0.12233068944478341</c:v>
                </c:pt>
                <c:pt idx="1">
                  <c:v>0.1281427412814274</c:v>
                </c:pt>
                <c:pt idx="2">
                  <c:v>0.12357549857549857</c:v>
                </c:pt>
                <c:pt idx="3">
                  <c:v>0.1273484579936193</c:v>
                </c:pt>
                <c:pt idx="4">
                  <c:v>0.12067613487845255</c:v>
                </c:pt>
                <c:pt idx="5">
                  <c:v>0.12217273600558903</c:v>
                </c:pt>
                <c:pt idx="6">
                  <c:v>0.12133434165196202</c:v>
                </c:pt>
                <c:pt idx="7">
                  <c:v>0.11957757920389928</c:v>
                </c:pt>
                <c:pt idx="8">
                  <c:v>0.11749412948674941</c:v>
                </c:pt>
                <c:pt idx="9">
                  <c:v>0.11257204610951009</c:v>
                </c:pt>
                <c:pt idx="10">
                  <c:v>0.11417647499812579</c:v>
                </c:pt>
                <c:pt idx="11">
                  <c:v>0.11235774963936529</c:v>
                </c:pt>
                <c:pt idx="12">
                  <c:v>0.11261329305135952</c:v>
                </c:pt>
                <c:pt idx="13">
                  <c:v>0.11121531848378273</c:v>
                </c:pt>
                <c:pt idx="14">
                  <c:v>0.11449502016626883</c:v>
                </c:pt>
                <c:pt idx="15">
                  <c:v>0.11889288171878584</c:v>
                </c:pt>
                <c:pt idx="16">
                  <c:v>0.12114689830117611</c:v>
                </c:pt>
                <c:pt idx="17">
                  <c:v>0.12736294896030245</c:v>
                </c:pt>
                <c:pt idx="18">
                  <c:v>0.12337908546295594</c:v>
                </c:pt>
                <c:pt idx="19">
                  <c:v>0.12613013191047873</c:v>
                </c:pt>
                <c:pt idx="20">
                  <c:v>0.12749521988527723</c:v>
                </c:pt>
                <c:pt idx="21">
                  <c:v>0.12482065997130559</c:v>
                </c:pt>
                <c:pt idx="22">
                  <c:v>0.12630606297533584</c:v>
                </c:pt>
                <c:pt idx="23">
                  <c:v>0.12677190721649484</c:v>
                </c:pt>
                <c:pt idx="24">
                  <c:v>0.12585731457258006</c:v>
                </c:pt>
                <c:pt idx="25">
                  <c:v>0.12137110877929345</c:v>
                </c:pt>
                <c:pt idx="26">
                  <c:v>0.12582131258968357</c:v>
                </c:pt>
                <c:pt idx="27">
                  <c:v>0.12037424940650747</c:v>
                </c:pt>
                <c:pt idx="28">
                  <c:v>0.12655509478672985</c:v>
                </c:pt>
                <c:pt idx="29">
                  <c:v>0.12666936462970457</c:v>
                </c:pt>
                <c:pt idx="30">
                  <c:v>0.12598817748023644</c:v>
                </c:pt>
                <c:pt idx="31">
                  <c:v>0.12833554474421346</c:v>
                </c:pt>
                <c:pt idx="32">
                  <c:v>0.1277660188570329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Req3!$C$135:$AI$135</c:f>
              <c:numCache>
                <c:ptCount val="33"/>
                <c:pt idx="0">
                  <c:v>0.019524100061012812</c:v>
                </c:pt>
                <c:pt idx="1">
                  <c:v>0.020519059205190593</c:v>
                </c:pt>
                <c:pt idx="2">
                  <c:v>0.018963675213675212</c:v>
                </c:pt>
                <c:pt idx="3">
                  <c:v>0.019585253456221197</c:v>
                </c:pt>
                <c:pt idx="4">
                  <c:v>0.01986581859370916</c:v>
                </c:pt>
                <c:pt idx="5">
                  <c:v>0.0180770238407126</c:v>
                </c:pt>
                <c:pt idx="6">
                  <c:v>0.020082346021342744</c:v>
                </c:pt>
                <c:pt idx="7">
                  <c:v>0.021202274573517466</c:v>
                </c:pt>
                <c:pt idx="8">
                  <c:v>0.021049983227105</c:v>
                </c:pt>
                <c:pt idx="9">
                  <c:v>0.021523775216138328</c:v>
                </c:pt>
                <c:pt idx="10">
                  <c:v>0.019791588574855686</c:v>
                </c:pt>
                <c:pt idx="11">
                  <c:v>0.020516108350697226</c:v>
                </c:pt>
                <c:pt idx="12">
                  <c:v>0.02069486404833837</c:v>
                </c:pt>
                <c:pt idx="13">
                  <c:v>0.022274325908558032</c:v>
                </c:pt>
                <c:pt idx="14">
                  <c:v>0.021977117458227016</c:v>
                </c:pt>
                <c:pt idx="15">
                  <c:v>0.022478782781558224</c:v>
                </c:pt>
                <c:pt idx="16">
                  <c:v>0.02213851948650934</c:v>
                </c:pt>
                <c:pt idx="17">
                  <c:v>0.023314429741650915</c:v>
                </c:pt>
                <c:pt idx="18">
                  <c:v>0.024342155152802</c:v>
                </c:pt>
                <c:pt idx="19">
                  <c:v>0.02564102564102564</c:v>
                </c:pt>
                <c:pt idx="20">
                  <c:v>0.024550669216061187</c:v>
                </c:pt>
                <c:pt idx="21">
                  <c:v>0.02399171050534035</c:v>
                </c:pt>
                <c:pt idx="22">
                  <c:v>0.023597981377496625</c:v>
                </c:pt>
                <c:pt idx="23">
                  <c:v>0.023679123711340205</c:v>
                </c:pt>
                <c:pt idx="24">
                  <c:v>0.02474722477550732</c:v>
                </c:pt>
                <c:pt idx="25">
                  <c:v>0.02322490381252186</c:v>
                </c:pt>
                <c:pt idx="26">
                  <c:v>0.022807945019258365</c:v>
                </c:pt>
                <c:pt idx="27">
                  <c:v>0.022901829353442257</c:v>
                </c:pt>
                <c:pt idx="28">
                  <c:v>0.02214158767772512</c:v>
                </c:pt>
                <c:pt idx="29">
                  <c:v>0.02353972750573317</c:v>
                </c:pt>
                <c:pt idx="30">
                  <c:v>0.023004059539918808</c:v>
                </c:pt>
                <c:pt idx="31">
                  <c:v>0.02226153619342474</c:v>
                </c:pt>
                <c:pt idx="32">
                  <c:v>0.02090949906997627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Req3!$C$136:$AI$136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0.0005183649289099526</c:v>
                </c:pt>
                <c:pt idx="29">
                  <c:v>0.0004046944556859571</c:v>
                </c:pt>
                <c:pt idx="30">
                  <c:v>0.0014956199700876006</c:v>
                </c:pt>
                <c:pt idx="31">
                  <c:v>0.0012531328320802004</c:v>
                </c:pt>
                <c:pt idx="32">
                  <c:v>0.0019241870309794113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Req3!$C$137:$AI$137</c:f>
              <c:numCache>
                <c:ptCount val="33"/>
                <c:pt idx="0">
                  <c:v>0.22412039861704292</c:v>
                </c:pt>
                <c:pt idx="1">
                  <c:v>0.22303325223033252</c:v>
                </c:pt>
                <c:pt idx="2">
                  <c:v>0.22159900284900286</c:v>
                </c:pt>
                <c:pt idx="3">
                  <c:v>0.22323644097837647</c:v>
                </c:pt>
                <c:pt idx="4">
                  <c:v>0.22331619761261653</c:v>
                </c:pt>
                <c:pt idx="5">
                  <c:v>0.22801502052222514</c:v>
                </c:pt>
                <c:pt idx="6">
                  <c:v>0.22325854970170575</c:v>
                </c:pt>
                <c:pt idx="7">
                  <c:v>0.21925264012997564</c:v>
                </c:pt>
                <c:pt idx="8">
                  <c:v>0.22735659174773565</c:v>
                </c:pt>
                <c:pt idx="9">
                  <c:v>0.21920028818443804</c:v>
                </c:pt>
                <c:pt idx="10">
                  <c:v>0.22183072194317416</c:v>
                </c:pt>
                <c:pt idx="11">
                  <c:v>0.22295239621734253</c:v>
                </c:pt>
                <c:pt idx="12">
                  <c:v>0.21654078549848943</c:v>
                </c:pt>
                <c:pt idx="13">
                  <c:v>0.21117624071903088</c:v>
                </c:pt>
                <c:pt idx="14">
                  <c:v>0.21211622355749443</c:v>
                </c:pt>
                <c:pt idx="15">
                  <c:v>0.20857863751051303</c:v>
                </c:pt>
                <c:pt idx="16">
                  <c:v>0.2090860173725882</c:v>
                </c:pt>
                <c:pt idx="17">
                  <c:v>0.20376496534341526</c:v>
                </c:pt>
                <c:pt idx="18">
                  <c:v>0.20429210586183363</c:v>
                </c:pt>
                <c:pt idx="19">
                  <c:v>0.2019416036757077</c:v>
                </c:pt>
                <c:pt idx="20">
                  <c:v>0.20114722753346082</c:v>
                </c:pt>
                <c:pt idx="21">
                  <c:v>0.19998405866411606</c:v>
                </c:pt>
                <c:pt idx="22">
                  <c:v>0.19297746819247993</c:v>
                </c:pt>
                <c:pt idx="23">
                  <c:v>0.19329896907216496</c:v>
                </c:pt>
                <c:pt idx="24">
                  <c:v>0.18800820193735418</c:v>
                </c:pt>
                <c:pt idx="25">
                  <c:v>0.1845400489681707</c:v>
                </c:pt>
                <c:pt idx="26">
                  <c:v>0.18133071520277924</c:v>
                </c:pt>
                <c:pt idx="27">
                  <c:v>0.1793045664013406</c:v>
                </c:pt>
                <c:pt idx="28">
                  <c:v>0.18261255924170616</c:v>
                </c:pt>
                <c:pt idx="29">
                  <c:v>0.1789423984891407</c:v>
                </c:pt>
                <c:pt idx="30">
                  <c:v>0.17983049640339008</c:v>
                </c:pt>
                <c:pt idx="31">
                  <c:v>0.17624944714727997</c:v>
                </c:pt>
                <c:pt idx="32">
                  <c:v>0.17420306587133602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Req3!$C$138:$AI$138</c:f>
              <c:numCache>
                <c:ptCount val="33"/>
                <c:pt idx="0">
                  <c:v>0.08013016066707342</c:v>
                </c:pt>
                <c:pt idx="1">
                  <c:v>0.07850770478507704</c:v>
                </c:pt>
                <c:pt idx="2">
                  <c:v>0.07941595441595442</c:v>
                </c:pt>
                <c:pt idx="3">
                  <c:v>0.08135412974122652</c:v>
                </c:pt>
                <c:pt idx="4">
                  <c:v>0.08181580552409166</c:v>
                </c:pt>
                <c:pt idx="5">
                  <c:v>0.08077897126888481</c:v>
                </c:pt>
                <c:pt idx="6">
                  <c:v>0.0812536761616671</c:v>
                </c:pt>
                <c:pt idx="7">
                  <c:v>0.08277822908204711</c:v>
                </c:pt>
                <c:pt idx="8">
                  <c:v>0.08378061053337806</c:v>
                </c:pt>
                <c:pt idx="9">
                  <c:v>0.08357348703170028</c:v>
                </c:pt>
                <c:pt idx="10">
                  <c:v>0.08268985681085539</c:v>
                </c:pt>
                <c:pt idx="11">
                  <c:v>0.08527007533258535</c:v>
                </c:pt>
                <c:pt idx="12">
                  <c:v>0.0830060422960725</c:v>
                </c:pt>
                <c:pt idx="13">
                  <c:v>0.08432981633450566</c:v>
                </c:pt>
                <c:pt idx="14">
                  <c:v>0.0823113013416742</c:v>
                </c:pt>
                <c:pt idx="15">
                  <c:v>0.0851747075464485</c:v>
                </c:pt>
                <c:pt idx="16">
                  <c:v>0.08371127680836345</c:v>
                </c:pt>
                <c:pt idx="17">
                  <c:v>0.08388468809073724</c:v>
                </c:pt>
                <c:pt idx="18">
                  <c:v>0.08205050428452264</c:v>
                </c:pt>
                <c:pt idx="19">
                  <c:v>0.08099896250185268</c:v>
                </c:pt>
                <c:pt idx="20">
                  <c:v>0.08282982791586999</c:v>
                </c:pt>
                <c:pt idx="21">
                  <c:v>0.07946755938147616</c:v>
                </c:pt>
                <c:pt idx="22">
                  <c:v>0.07868363067737578</c:v>
                </c:pt>
                <c:pt idx="23">
                  <c:v>0.08046069587628867</c:v>
                </c:pt>
                <c:pt idx="24">
                  <c:v>0.07643357137806689</c:v>
                </c:pt>
                <c:pt idx="25">
                  <c:v>0.07806925498426023</c:v>
                </c:pt>
                <c:pt idx="26">
                  <c:v>0.07355939883694584</c:v>
                </c:pt>
                <c:pt idx="27">
                  <c:v>0.07694456081552856</c:v>
                </c:pt>
                <c:pt idx="28">
                  <c:v>0.07501481042654029</c:v>
                </c:pt>
                <c:pt idx="29">
                  <c:v>0.07311479832726292</c:v>
                </c:pt>
                <c:pt idx="30">
                  <c:v>0.07143365857132683</c:v>
                </c:pt>
                <c:pt idx="31">
                  <c:v>0.07032286598850067</c:v>
                </c:pt>
                <c:pt idx="32">
                  <c:v>0.07311910717721763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Req3!$C$139:$AI$139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0.0006995452955578874</c:v>
                </c:pt>
                <c:pt idx="26">
                  <c:v>0.0012083679480401782</c:v>
                </c:pt>
                <c:pt idx="27">
                  <c:v>0.0016059209607596704</c:v>
                </c:pt>
                <c:pt idx="28">
                  <c:v>0.002591824644549763</c:v>
                </c:pt>
                <c:pt idx="29">
                  <c:v>0.00424929178470255</c:v>
                </c:pt>
                <c:pt idx="30">
                  <c:v>0.006053699878926002</c:v>
                </c:pt>
                <c:pt idx="31">
                  <c:v>0.007445083296476486</c:v>
                </c:pt>
                <c:pt idx="32">
                  <c:v>0.007696748123917645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Req3!$C$140:$AI$140</c:f>
              <c:numCache>
                <c:ptCount val="33"/>
                <c:pt idx="0">
                  <c:v>0.013117754728492984</c:v>
                </c:pt>
                <c:pt idx="1">
                  <c:v>0.01321978913219789</c:v>
                </c:pt>
                <c:pt idx="2">
                  <c:v>0.013176638176638177</c:v>
                </c:pt>
                <c:pt idx="3">
                  <c:v>0.013204537398085785</c:v>
                </c:pt>
                <c:pt idx="4">
                  <c:v>0.012633963579332578</c:v>
                </c:pt>
                <c:pt idx="5">
                  <c:v>0.012313335079905684</c:v>
                </c:pt>
                <c:pt idx="6">
                  <c:v>0.012603982858583312</c:v>
                </c:pt>
                <c:pt idx="7">
                  <c:v>0.012591389114541024</c:v>
                </c:pt>
                <c:pt idx="8">
                  <c:v>0.011405568601140557</c:v>
                </c:pt>
                <c:pt idx="9">
                  <c:v>0.012698126801152738</c:v>
                </c:pt>
                <c:pt idx="10">
                  <c:v>0.012294774720743683</c:v>
                </c:pt>
                <c:pt idx="11">
                  <c:v>0.010979323609552814</c:v>
                </c:pt>
                <c:pt idx="12">
                  <c:v>0.011480362537764351</c:v>
                </c:pt>
                <c:pt idx="13">
                  <c:v>0.011723329425556858</c:v>
                </c:pt>
                <c:pt idx="14">
                  <c:v>0.01135895958515104</c:v>
                </c:pt>
                <c:pt idx="15">
                  <c:v>0.010398348497591558</c:v>
                </c:pt>
                <c:pt idx="16">
                  <c:v>0.01106925974325467</c:v>
                </c:pt>
                <c:pt idx="17">
                  <c:v>0.01110586011342155</c:v>
                </c:pt>
                <c:pt idx="18">
                  <c:v>0.011754000151664518</c:v>
                </c:pt>
                <c:pt idx="19">
                  <c:v>0.012524084778420038</c:v>
                </c:pt>
                <c:pt idx="20">
                  <c:v>0.0130019120458891</c:v>
                </c:pt>
                <c:pt idx="21">
                  <c:v>0.0117168818747011</c:v>
                </c:pt>
                <c:pt idx="22">
                  <c:v>0.012154381974553983</c:v>
                </c:pt>
                <c:pt idx="23">
                  <c:v>0.011678479381443299</c:v>
                </c:pt>
                <c:pt idx="24">
                  <c:v>0.011949374248744963</c:v>
                </c:pt>
                <c:pt idx="25">
                  <c:v>0.01112277019937041</c:v>
                </c:pt>
                <c:pt idx="26">
                  <c:v>0.011857110490144249</c:v>
                </c:pt>
                <c:pt idx="27">
                  <c:v>0.010822510822510822</c:v>
                </c:pt>
                <c:pt idx="28">
                  <c:v>0.010589454976303318</c:v>
                </c:pt>
                <c:pt idx="29">
                  <c:v>0.010252259544044247</c:v>
                </c:pt>
                <c:pt idx="30">
                  <c:v>0.009828359803432805</c:v>
                </c:pt>
                <c:pt idx="31">
                  <c:v>0.009287925696594427</c:v>
                </c:pt>
                <c:pt idx="32">
                  <c:v>0.01019819126419088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Req3!$C$141:$AI$141</c:f>
              <c:numCache>
                <c:ptCount val="33"/>
                <c:pt idx="0">
                  <c:v>0.02928615009151922</c:v>
                </c:pt>
                <c:pt idx="1">
                  <c:v>0.027575020275750203</c:v>
                </c:pt>
                <c:pt idx="2">
                  <c:v>0.026264245014245013</c:v>
                </c:pt>
                <c:pt idx="3">
                  <c:v>0.02685218007798653</c:v>
                </c:pt>
                <c:pt idx="4">
                  <c:v>0.027446196741308704</c:v>
                </c:pt>
                <c:pt idx="5">
                  <c:v>0.027683171775390796</c:v>
                </c:pt>
                <c:pt idx="6">
                  <c:v>0.028821107469960507</c:v>
                </c:pt>
                <c:pt idx="7">
                  <c:v>0.031112916328188463</c:v>
                </c:pt>
                <c:pt idx="8">
                  <c:v>0.029771888627977187</c:v>
                </c:pt>
                <c:pt idx="9">
                  <c:v>0.02989913544668588</c:v>
                </c:pt>
                <c:pt idx="10">
                  <c:v>0.03036209610915361</c:v>
                </c:pt>
                <c:pt idx="11">
                  <c:v>0.029491905754127263</c:v>
                </c:pt>
                <c:pt idx="12">
                  <c:v>0.03240181268882175</c:v>
                </c:pt>
                <c:pt idx="13">
                  <c:v>0.029073856975381007</c:v>
                </c:pt>
                <c:pt idx="14">
                  <c:v>0.028232776360194254</c:v>
                </c:pt>
                <c:pt idx="15">
                  <c:v>0.030736294823763284</c:v>
                </c:pt>
                <c:pt idx="16">
                  <c:v>0.027903758936121147</c:v>
                </c:pt>
                <c:pt idx="17">
                  <c:v>0.028040327662255827</c:v>
                </c:pt>
                <c:pt idx="18">
                  <c:v>0.027147948737392888</c:v>
                </c:pt>
                <c:pt idx="19">
                  <c:v>0.0246776345042241</c:v>
                </c:pt>
                <c:pt idx="20">
                  <c:v>0.025697896749521987</c:v>
                </c:pt>
                <c:pt idx="21">
                  <c:v>0.02773792443806791</c:v>
                </c:pt>
                <c:pt idx="22">
                  <c:v>0.02388229440614116</c:v>
                </c:pt>
                <c:pt idx="23">
                  <c:v>0.024887242268041235</c:v>
                </c:pt>
                <c:pt idx="24">
                  <c:v>0.024888637488510217</c:v>
                </c:pt>
                <c:pt idx="25">
                  <c:v>0.022385449457852397</c:v>
                </c:pt>
                <c:pt idx="26">
                  <c:v>0.022279284041990786</c:v>
                </c:pt>
                <c:pt idx="27">
                  <c:v>0.022482893450635387</c:v>
                </c:pt>
                <c:pt idx="28">
                  <c:v>0.02295616113744076</c:v>
                </c:pt>
                <c:pt idx="29">
                  <c:v>0.021786051531094024</c:v>
                </c:pt>
                <c:pt idx="30">
                  <c:v>0.021223559575528808</c:v>
                </c:pt>
                <c:pt idx="31">
                  <c:v>0.02100840336134454</c:v>
                </c:pt>
                <c:pt idx="32">
                  <c:v>0.019947405554486562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Req3!$C$142:$AI$142</c:f>
              <c:numCache>
                <c:ptCount val="33"/>
                <c:pt idx="0">
                  <c:v>0.025116941224323775</c:v>
                </c:pt>
                <c:pt idx="1">
                  <c:v>0.025709651257096514</c:v>
                </c:pt>
                <c:pt idx="2">
                  <c:v>0.024127492877492877</c:v>
                </c:pt>
                <c:pt idx="3">
                  <c:v>0.02578872740163063</c:v>
                </c:pt>
                <c:pt idx="4">
                  <c:v>0.026313496558334058</c:v>
                </c:pt>
                <c:pt idx="5">
                  <c:v>0.02637324251157104</c:v>
                </c:pt>
                <c:pt idx="6">
                  <c:v>0.026300310898243844</c:v>
                </c:pt>
                <c:pt idx="7">
                  <c:v>0.025995125913891144</c:v>
                </c:pt>
                <c:pt idx="8">
                  <c:v>0.02549480040254948</c:v>
                </c:pt>
                <c:pt idx="9">
                  <c:v>0.024855907780979826</c:v>
                </c:pt>
                <c:pt idx="10">
                  <c:v>0.026838593597720967</c:v>
                </c:pt>
                <c:pt idx="11">
                  <c:v>0.02460330181118769</c:v>
                </c:pt>
                <c:pt idx="12">
                  <c:v>0.026661631419939578</c:v>
                </c:pt>
                <c:pt idx="13">
                  <c:v>0.025713169206721377</c:v>
                </c:pt>
                <c:pt idx="14">
                  <c:v>0.02518725821055231</c:v>
                </c:pt>
                <c:pt idx="15">
                  <c:v>0.024466702347274258</c:v>
                </c:pt>
                <c:pt idx="16">
                  <c:v>0.02359904681374433</c:v>
                </c:pt>
                <c:pt idx="17">
                  <c:v>0.024810964083175804</c:v>
                </c:pt>
                <c:pt idx="18">
                  <c:v>0.024417987411844998</c:v>
                </c:pt>
                <c:pt idx="19">
                  <c:v>0.023714243367422557</c:v>
                </c:pt>
                <c:pt idx="20">
                  <c:v>0.024550669216061187</c:v>
                </c:pt>
                <c:pt idx="21">
                  <c:v>0.024071417184760083</c:v>
                </c:pt>
                <c:pt idx="22">
                  <c:v>0.022958277063046414</c:v>
                </c:pt>
                <c:pt idx="23">
                  <c:v>0.023195876288659795</c:v>
                </c:pt>
                <c:pt idx="24">
                  <c:v>0.022201795941455136</c:v>
                </c:pt>
                <c:pt idx="25">
                  <c:v>0.022385449457852397</c:v>
                </c:pt>
                <c:pt idx="26">
                  <c:v>0.021599577071218186</c:v>
                </c:pt>
                <c:pt idx="27">
                  <c:v>0.02094679514034353</c:v>
                </c:pt>
                <c:pt idx="28">
                  <c:v>0.01940165876777251</c:v>
                </c:pt>
                <c:pt idx="29">
                  <c:v>0.020369620936193173</c:v>
                </c:pt>
                <c:pt idx="30">
                  <c:v>0.01944305961113881</c:v>
                </c:pt>
                <c:pt idx="31">
                  <c:v>0.02027126640129736</c:v>
                </c:pt>
                <c:pt idx="32">
                  <c:v>0.01834391636200372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Req3!$C$143:$AI$143</c:f>
              <c:numCache>
                <c:ptCount val="33"/>
                <c:pt idx="0">
                  <c:v>0.12497457799471222</c:v>
                </c:pt>
                <c:pt idx="1">
                  <c:v>0.12278994322789943</c:v>
                </c:pt>
                <c:pt idx="2">
                  <c:v>0.1241096866096866</c:v>
                </c:pt>
                <c:pt idx="3">
                  <c:v>0.12008153137185396</c:v>
                </c:pt>
                <c:pt idx="4">
                  <c:v>0.121198919578287</c:v>
                </c:pt>
                <c:pt idx="5">
                  <c:v>0.12182342153523709</c:v>
                </c:pt>
                <c:pt idx="6">
                  <c:v>0.12603982858583312</c:v>
                </c:pt>
                <c:pt idx="7">
                  <c:v>0.12331437855402112</c:v>
                </c:pt>
                <c:pt idx="8">
                  <c:v>0.12588057698758806</c:v>
                </c:pt>
                <c:pt idx="9">
                  <c:v>0.1273414985590778</c:v>
                </c:pt>
                <c:pt idx="10">
                  <c:v>0.1287202938751031</c:v>
                </c:pt>
                <c:pt idx="11">
                  <c:v>0.12485975316557141</c:v>
                </c:pt>
                <c:pt idx="12">
                  <c:v>0.12885196374622357</c:v>
                </c:pt>
                <c:pt idx="13">
                  <c:v>0.12661195779601406</c:v>
                </c:pt>
                <c:pt idx="14">
                  <c:v>0.12568935714873652</c:v>
                </c:pt>
                <c:pt idx="15">
                  <c:v>0.12294517929505314</c:v>
                </c:pt>
                <c:pt idx="16">
                  <c:v>0.12852640479667923</c:v>
                </c:pt>
                <c:pt idx="17">
                  <c:v>0.12373976055450536</c:v>
                </c:pt>
                <c:pt idx="18">
                  <c:v>0.1250473951619019</c:v>
                </c:pt>
                <c:pt idx="19">
                  <c:v>0.12435156365792203</c:v>
                </c:pt>
                <c:pt idx="20">
                  <c:v>0.12</c:v>
                </c:pt>
                <c:pt idx="21">
                  <c:v>0.12179180615335565</c:v>
                </c:pt>
                <c:pt idx="22">
                  <c:v>0.11884284597341674</c:v>
                </c:pt>
                <c:pt idx="23">
                  <c:v>0.11452963917525773</c:v>
                </c:pt>
                <c:pt idx="24">
                  <c:v>0.11807961535742063</c:v>
                </c:pt>
                <c:pt idx="25">
                  <c:v>0.11388597411682407</c:v>
                </c:pt>
                <c:pt idx="26">
                  <c:v>0.11562570802809455</c:v>
                </c:pt>
                <c:pt idx="27">
                  <c:v>0.1146487920681469</c:v>
                </c:pt>
                <c:pt idx="28">
                  <c:v>0.11159656398104266</c:v>
                </c:pt>
                <c:pt idx="29">
                  <c:v>0.11014434102252799</c:v>
                </c:pt>
                <c:pt idx="30">
                  <c:v>0.10953635780927284</c:v>
                </c:pt>
                <c:pt idx="31">
                  <c:v>0.10998083443903878</c:v>
                </c:pt>
                <c:pt idx="32">
                  <c:v>0.10640754281316143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Req3!$C$144:$AI$144</c:f>
              <c:numCache>
                <c:ptCount val="33"/>
                <c:pt idx="0">
                  <c:v>0.04738661785641651</c:v>
                </c:pt>
                <c:pt idx="1">
                  <c:v>0.046309813463098135</c:v>
                </c:pt>
                <c:pt idx="2">
                  <c:v>0.04478276353276353</c:v>
                </c:pt>
                <c:pt idx="3">
                  <c:v>0.047766749379652605</c:v>
                </c:pt>
                <c:pt idx="4">
                  <c:v>0.04957741570096715</c:v>
                </c:pt>
                <c:pt idx="5">
                  <c:v>0.049515326172386694</c:v>
                </c:pt>
                <c:pt idx="6">
                  <c:v>0.048903453491303255</c:v>
                </c:pt>
                <c:pt idx="7">
                  <c:v>0.051665312753858654</c:v>
                </c:pt>
                <c:pt idx="8">
                  <c:v>0.04855753102985575</c:v>
                </c:pt>
                <c:pt idx="9">
                  <c:v>0.0480007204610951</c:v>
                </c:pt>
                <c:pt idx="10">
                  <c:v>0.04827948122048129</c:v>
                </c:pt>
                <c:pt idx="11">
                  <c:v>0.04824491104343645</c:v>
                </c:pt>
                <c:pt idx="12">
                  <c:v>0.04833836858006042</c:v>
                </c:pt>
                <c:pt idx="13">
                  <c:v>0.04978507229386479</c:v>
                </c:pt>
                <c:pt idx="14">
                  <c:v>0.049386780805004526</c:v>
                </c:pt>
                <c:pt idx="15">
                  <c:v>0.04885694624971328</c:v>
                </c:pt>
                <c:pt idx="16">
                  <c:v>0.04535321700361288</c:v>
                </c:pt>
                <c:pt idx="17">
                  <c:v>0.04639256458727158</c:v>
                </c:pt>
                <c:pt idx="18">
                  <c:v>0.044741032835368164</c:v>
                </c:pt>
                <c:pt idx="19">
                  <c:v>0.04690973766118275</c:v>
                </c:pt>
                <c:pt idx="20">
                  <c:v>0.04405353728489484</c:v>
                </c:pt>
                <c:pt idx="21">
                  <c:v>0.04599075402518731</c:v>
                </c:pt>
                <c:pt idx="22">
                  <c:v>0.045276849811642615</c:v>
                </c:pt>
                <c:pt idx="23">
                  <c:v>0.044297680412371136</c:v>
                </c:pt>
                <c:pt idx="24">
                  <c:v>0.04468641730891607</c:v>
                </c:pt>
                <c:pt idx="25">
                  <c:v>0.0435117173837006</c:v>
                </c:pt>
                <c:pt idx="26">
                  <c:v>0.041537648213881125</c:v>
                </c:pt>
                <c:pt idx="27">
                  <c:v>0.043359865940511104</c:v>
                </c:pt>
                <c:pt idx="28">
                  <c:v>0.04206161137440758</c:v>
                </c:pt>
                <c:pt idx="29">
                  <c:v>0.040941589100229325</c:v>
                </c:pt>
                <c:pt idx="30">
                  <c:v>0.042447119151057616</c:v>
                </c:pt>
                <c:pt idx="31">
                  <c:v>0.04098481497862303</c:v>
                </c:pt>
                <c:pt idx="32">
                  <c:v>0.04053620678596626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Req3!$C$145:$AI$145</c:f>
              <c:numCache>
                <c:ptCount val="33"/>
                <c:pt idx="0">
                  <c:v>0.04260728086231442</c:v>
                </c:pt>
                <c:pt idx="1">
                  <c:v>0.04257907542579075</c:v>
                </c:pt>
                <c:pt idx="2">
                  <c:v>0.04113247863247863</c:v>
                </c:pt>
                <c:pt idx="3">
                  <c:v>0.04049982275788727</c:v>
                </c:pt>
                <c:pt idx="4">
                  <c:v>0.04042868345386425</c:v>
                </c:pt>
                <c:pt idx="5">
                  <c:v>0.04069513579600035</c:v>
                </c:pt>
                <c:pt idx="6">
                  <c:v>0.04100495756659104</c:v>
                </c:pt>
                <c:pt idx="7">
                  <c:v>0.03915515840779854</c:v>
                </c:pt>
                <c:pt idx="8">
                  <c:v>0.039751761153975176</c:v>
                </c:pt>
                <c:pt idx="9">
                  <c:v>0.03953530259365994</c:v>
                </c:pt>
                <c:pt idx="10">
                  <c:v>0.03875852762575905</c:v>
                </c:pt>
                <c:pt idx="11">
                  <c:v>0.03734572848212855</c:v>
                </c:pt>
                <c:pt idx="12">
                  <c:v>0.03632930513595166</c:v>
                </c:pt>
                <c:pt idx="13">
                  <c:v>0.03774912075029308</c:v>
                </c:pt>
                <c:pt idx="14">
                  <c:v>0.037616264713145116</c:v>
                </c:pt>
                <c:pt idx="15">
                  <c:v>0.03868797308662742</c:v>
                </c:pt>
                <c:pt idx="16">
                  <c:v>0.03835805980475056</c:v>
                </c:pt>
                <c:pt idx="17">
                  <c:v>0.036546943919344675</c:v>
                </c:pt>
                <c:pt idx="18">
                  <c:v>0.0389019488890574</c:v>
                </c:pt>
                <c:pt idx="19">
                  <c:v>0.03742404031421372</c:v>
                </c:pt>
                <c:pt idx="20">
                  <c:v>0.03717017208413002</c:v>
                </c:pt>
                <c:pt idx="21">
                  <c:v>0.036585365853658534</c:v>
                </c:pt>
                <c:pt idx="22">
                  <c:v>0.03681853720946762</c:v>
                </c:pt>
                <c:pt idx="23">
                  <c:v>0.035438144329896906</c:v>
                </c:pt>
                <c:pt idx="24">
                  <c:v>0.036555186311249384</c:v>
                </c:pt>
                <c:pt idx="25">
                  <c:v>0.03581671913256383</c:v>
                </c:pt>
                <c:pt idx="26">
                  <c:v>0.035571331470432746</c:v>
                </c:pt>
                <c:pt idx="27">
                  <c:v>0.03519061583577713</c:v>
                </c:pt>
                <c:pt idx="28">
                  <c:v>0.03613744075829384</c:v>
                </c:pt>
                <c:pt idx="29">
                  <c:v>0.035545663024416564</c:v>
                </c:pt>
                <c:pt idx="30">
                  <c:v>0.034256819314863615</c:v>
                </c:pt>
                <c:pt idx="31">
                  <c:v>0.032802594722099364</c:v>
                </c:pt>
                <c:pt idx="32">
                  <c:v>0.033993970880636264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Req3!$C$146:$AI$146</c:f>
              <c:numCache>
                <c:ptCount val="33"/>
                <c:pt idx="0">
                  <c:v>0.0021354484441732766</c:v>
                </c:pt>
                <c:pt idx="1">
                  <c:v>0.0025141930251419303</c:v>
                </c:pt>
                <c:pt idx="2">
                  <c:v>0.001958689458689459</c:v>
                </c:pt>
                <c:pt idx="3">
                  <c:v>0.0021269053527118043</c:v>
                </c:pt>
                <c:pt idx="4">
                  <c:v>0.002439661932560774</c:v>
                </c:pt>
                <c:pt idx="5">
                  <c:v>0.002532529910051524</c:v>
                </c:pt>
                <c:pt idx="6">
                  <c:v>0.0031089824384505503</c:v>
                </c:pt>
                <c:pt idx="7">
                  <c:v>0.003411860276198213</c:v>
                </c:pt>
                <c:pt idx="8">
                  <c:v>0.0037739013753773903</c:v>
                </c:pt>
                <c:pt idx="9">
                  <c:v>0.003962536023054755</c:v>
                </c:pt>
                <c:pt idx="10">
                  <c:v>0.0030736936801859208</c:v>
                </c:pt>
                <c:pt idx="11">
                  <c:v>0.004087193460490463</c:v>
                </c:pt>
                <c:pt idx="12">
                  <c:v>0.0030966767371601207</c:v>
                </c:pt>
                <c:pt idx="13">
                  <c:v>0.0035951543571707697</c:v>
                </c:pt>
                <c:pt idx="14">
                  <c:v>0.003539385957691991</c:v>
                </c:pt>
                <c:pt idx="15">
                  <c:v>0.002905420903738818</c:v>
                </c:pt>
                <c:pt idx="16">
                  <c:v>0.0036128833884233992</c:v>
                </c:pt>
                <c:pt idx="17">
                  <c:v>0.0030718336483931945</c:v>
                </c:pt>
                <c:pt idx="18">
                  <c:v>0.0025024645484188974</c:v>
                </c:pt>
                <c:pt idx="19">
                  <c:v>0.002741959389358233</c:v>
                </c:pt>
                <c:pt idx="20">
                  <c:v>0.0032122370936902484</c:v>
                </c:pt>
                <c:pt idx="21">
                  <c:v>0.003028853817949944</c:v>
                </c:pt>
                <c:pt idx="22">
                  <c:v>0.002985286800767645</c:v>
                </c:pt>
                <c:pt idx="23">
                  <c:v>0.0028994845360824743</c:v>
                </c:pt>
                <c:pt idx="24">
                  <c:v>0.002828254260057979</c:v>
                </c:pt>
                <c:pt idx="25">
                  <c:v>0.002658272123119972</c:v>
                </c:pt>
                <c:pt idx="26">
                  <c:v>0.0030964428668529566</c:v>
                </c:pt>
                <c:pt idx="27">
                  <c:v>0.0036307778243262114</c:v>
                </c:pt>
                <c:pt idx="28">
                  <c:v>0.0038507109004739335</c:v>
                </c:pt>
                <c:pt idx="29">
                  <c:v>0.003102657493592338</c:v>
                </c:pt>
                <c:pt idx="30">
                  <c:v>0.003917099921658002</c:v>
                </c:pt>
                <c:pt idx="31">
                  <c:v>0.004275394368273625</c:v>
                </c:pt>
                <c:pt idx="32">
                  <c:v>0.004874607145147842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Req3!$C$147:$AI$147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0.005898294277060417</c:v>
                </c:pt>
                <c:pt idx="22">
                  <c:v>0.013647025374937807</c:v>
                </c:pt>
                <c:pt idx="23">
                  <c:v>0.02021585051546392</c:v>
                </c:pt>
                <c:pt idx="24">
                  <c:v>0.025100756558014567</c:v>
                </c:pt>
                <c:pt idx="25">
                  <c:v>0.03057012941587968</c:v>
                </c:pt>
                <c:pt idx="26">
                  <c:v>0.03436296352239257</c:v>
                </c:pt>
                <c:pt idx="27">
                  <c:v>0.036447423544197735</c:v>
                </c:pt>
                <c:pt idx="28">
                  <c:v>0.03902547393364929</c:v>
                </c:pt>
                <c:pt idx="29">
                  <c:v>0.041413732631862946</c:v>
                </c:pt>
                <c:pt idx="30">
                  <c:v>0.04486859910262802</c:v>
                </c:pt>
                <c:pt idx="31">
                  <c:v>0.04518649565089194</c:v>
                </c:pt>
                <c:pt idx="32">
                  <c:v>0.05041370021166058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Req3!$C$148:$AI$148</c:f>
              <c:numCache>
                <c:ptCount val="33"/>
                <c:pt idx="0">
                  <c:v>0.020235916209070573</c:v>
                </c:pt>
                <c:pt idx="1">
                  <c:v>0.0267639902676399</c:v>
                </c:pt>
                <c:pt idx="2">
                  <c:v>0.031160968660968662</c:v>
                </c:pt>
                <c:pt idx="3">
                  <c:v>0.03270116979794399</c:v>
                </c:pt>
                <c:pt idx="4">
                  <c:v>0.0334582207894049</c:v>
                </c:pt>
                <c:pt idx="5">
                  <c:v>0.030390358920618286</c:v>
                </c:pt>
                <c:pt idx="6">
                  <c:v>0.02764473573649273</c:v>
                </c:pt>
                <c:pt idx="7">
                  <c:v>0.02851340373679935</c:v>
                </c:pt>
                <c:pt idx="8">
                  <c:v>0.027675276752767528</c:v>
                </c:pt>
                <c:pt idx="9">
                  <c:v>0.03170028818443804</c:v>
                </c:pt>
                <c:pt idx="10">
                  <c:v>0.03073693680185921</c:v>
                </c:pt>
                <c:pt idx="11">
                  <c:v>0.03237698349094406</c:v>
                </c:pt>
                <c:pt idx="12">
                  <c:v>0.03361027190332326</c:v>
                </c:pt>
                <c:pt idx="13">
                  <c:v>0.03712387651426338</c:v>
                </c:pt>
                <c:pt idx="14">
                  <c:v>0.037040085603753395</c:v>
                </c:pt>
                <c:pt idx="15">
                  <c:v>0.03700588730025231</c:v>
                </c:pt>
                <c:pt idx="16">
                  <c:v>0.0388192789607195</c:v>
                </c:pt>
                <c:pt idx="17">
                  <c:v>0.03646817895400126</c:v>
                </c:pt>
                <c:pt idx="18">
                  <c:v>0.039129445666186397</c:v>
                </c:pt>
                <c:pt idx="19">
                  <c:v>0.04061064176671113</c:v>
                </c:pt>
                <c:pt idx="20">
                  <c:v>0.041147227533460805</c:v>
                </c:pt>
                <c:pt idx="21">
                  <c:v>0.04152717997768213</c:v>
                </c:pt>
                <c:pt idx="22">
                  <c:v>0.04321558035396972</c:v>
                </c:pt>
                <c:pt idx="23">
                  <c:v>0.04091494845360825</c:v>
                </c:pt>
                <c:pt idx="24">
                  <c:v>0.04214098847486389</c:v>
                </c:pt>
                <c:pt idx="25">
                  <c:v>0.04540048968170689</c:v>
                </c:pt>
                <c:pt idx="26">
                  <c:v>0.04425647609697153</c:v>
                </c:pt>
                <c:pt idx="27">
                  <c:v>0.047060466415305126</c:v>
                </c:pt>
                <c:pt idx="28">
                  <c:v>0.04465343601895735</c:v>
                </c:pt>
                <c:pt idx="29">
                  <c:v>0.046337515176042086</c:v>
                </c:pt>
                <c:pt idx="30">
                  <c:v>0.04543835909123282</c:v>
                </c:pt>
                <c:pt idx="31">
                  <c:v>0.04562877782692024</c:v>
                </c:pt>
                <c:pt idx="32">
                  <c:v>0.045731511769610676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Req3!$C$149:$AI$149</c:f>
              <c:numCache>
                <c:ptCount val="33"/>
                <c:pt idx="0">
                  <c:v>0.001525320317266626</c:v>
                </c:pt>
                <c:pt idx="1">
                  <c:v>0.0016220600162206002</c:v>
                </c:pt>
                <c:pt idx="2">
                  <c:v>0.0016025641025641025</c:v>
                </c:pt>
                <c:pt idx="3">
                  <c:v>0.0022155264090747964</c:v>
                </c:pt>
                <c:pt idx="4">
                  <c:v>0.0023525311492550317</c:v>
                </c:pt>
                <c:pt idx="5">
                  <c:v>0.0022705440572875733</c:v>
                </c:pt>
                <c:pt idx="6">
                  <c:v>0.00201663725737333</c:v>
                </c:pt>
                <c:pt idx="7">
                  <c:v>0.002518277822908205</c:v>
                </c:pt>
                <c:pt idx="8">
                  <c:v>0.0026836632002683663</c:v>
                </c:pt>
                <c:pt idx="9">
                  <c:v>0.002701729106628242</c:v>
                </c:pt>
                <c:pt idx="10">
                  <c:v>0.002848789264562561</c:v>
                </c:pt>
                <c:pt idx="11">
                  <c:v>0.0028049366885718866</c:v>
                </c:pt>
                <c:pt idx="12">
                  <c:v>0.0031722054380664655</c:v>
                </c:pt>
                <c:pt idx="13">
                  <c:v>0.0035169988276670576</c:v>
                </c:pt>
                <c:pt idx="14">
                  <c:v>0.0041978763684253845</c:v>
                </c:pt>
                <c:pt idx="15">
                  <c:v>0.0035170884624206745</c:v>
                </c:pt>
                <c:pt idx="16">
                  <c:v>0.0031516642324544548</c:v>
                </c:pt>
                <c:pt idx="17">
                  <c:v>0.0038594833018273473</c:v>
                </c:pt>
                <c:pt idx="18">
                  <c:v>0.0037157806931068476</c:v>
                </c:pt>
                <c:pt idx="19">
                  <c:v>0.004001778568252557</c:v>
                </c:pt>
                <c:pt idx="20">
                  <c:v>0.004130019120458891</c:v>
                </c:pt>
                <c:pt idx="21">
                  <c:v>0.004622987406344652</c:v>
                </c:pt>
                <c:pt idx="22">
                  <c:v>0.003482834600895586</c:v>
                </c:pt>
                <c:pt idx="23">
                  <c:v>0.004188144329896907</c:v>
                </c:pt>
                <c:pt idx="24">
                  <c:v>0.003959555964081171</c:v>
                </c:pt>
                <c:pt idx="25">
                  <c:v>0.004616998950682056</c:v>
                </c:pt>
                <c:pt idx="26">
                  <c:v>0.004002718827883091</c:v>
                </c:pt>
                <c:pt idx="27">
                  <c:v>0.0047479402318111995</c:v>
                </c:pt>
                <c:pt idx="28">
                  <c:v>0.004665284360189573</c:v>
                </c:pt>
                <c:pt idx="29">
                  <c:v>0.004586537164440847</c:v>
                </c:pt>
                <c:pt idx="30">
                  <c:v>0.004914179901716402</c:v>
                </c:pt>
                <c:pt idx="31">
                  <c:v>0.005528527200353826</c:v>
                </c:pt>
                <c:pt idx="32">
                  <c:v>0.0050028862805464695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Req3!$C$150:$AI$150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0.002096611875209661</c:v>
                </c:pt>
                <c:pt idx="9">
                  <c:v>0.005763688760806916</c:v>
                </c:pt>
                <c:pt idx="10">
                  <c:v>0.011095284504085763</c:v>
                </c:pt>
                <c:pt idx="11">
                  <c:v>0.013944542394614522</c:v>
                </c:pt>
                <c:pt idx="12">
                  <c:v>0.018429003021148038</c:v>
                </c:pt>
                <c:pt idx="13">
                  <c:v>0.01922626025791325</c:v>
                </c:pt>
                <c:pt idx="14">
                  <c:v>0.021400938348835295</c:v>
                </c:pt>
                <c:pt idx="15">
                  <c:v>0.02125544766419451</c:v>
                </c:pt>
                <c:pt idx="16">
                  <c:v>0.022907218079790913</c:v>
                </c:pt>
                <c:pt idx="17">
                  <c:v>0.025362318840579712</c:v>
                </c:pt>
                <c:pt idx="18">
                  <c:v>0.025934632592704936</c:v>
                </c:pt>
                <c:pt idx="19">
                  <c:v>0.026900844819919965</c:v>
                </c:pt>
                <c:pt idx="20">
                  <c:v>0.028910133843212237</c:v>
                </c:pt>
                <c:pt idx="21">
                  <c:v>0.02965088474414156</c:v>
                </c:pt>
                <c:pt idx="22">
                  <c:v>0.03049257232212666</c:v>
                </c:pt>
                <c:pt idx="23">
                  <c:v>0.031894329896907214</c:v>
                </c:pt>
                <c:pt idx="24">
                  <c:v>0.03125220957364067</c:v>
                </c:pt>
                <c:pt idx="25">
                  <c:v>0.032598810772997554</c:v>
                </c:pt>
                <c:pt idx="26">
                  <c:v>0.03232384261007477</c:v>
                </c:pt>
                <c:pt idx="27">
                  <c:v>0.03281664571987153</c:v>
                </c:pt>
                <c:pt idx="28">
                  <c:v>0.03139810426540284</c:v>
                </c:pt>
                <c:pt idx="29">
                  <c:v>0.031296371239714016</c:v>
                </c:pt>
                <c:pt idx="30">
                  <c:v>0.031336799373264015</c:v>
                </c:pt>
                <c:pt idx="31">
                  <c:v>0.03073861123396727</c:v>
                </c:pt>
                <c:pt idx="32">
                  <c:v>0.03097941119876852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Req3!$C$151:$AI$151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0.0006118546845124283</c:v>
                </c:pt>
                <c:pt idx="21">
                  <c:v>0.002470907062011797</c:v>
                </c:pt>
                <c:pt idx="22">
                  <c:v>0.005259791029923946</c:v>
                </c:pt>
                <c:pt idx="23">
                  <c:v>0.0067654639175257734</c:v>
                </c:pt>
                <c:pt idx="24">
                  <c:v>0.01095948525772467</c:v>
                </c:pt>
                <c:pt idx="25">
                  <c:v>0.011052815669814621</c:v>
                </c:pt>
                <c:pt idx="26">
                  <c:v>0.011630541499886715</c:v>
                </c:pt>
                <c:pt idx="27">
                  <c:v>0.01270772238514174</c:v>
                </c:pt>
                <c:pt idx="28">
                  <c:v>0.014736374407582938</c:v>
                </c:pt>
                <c:pt idx="29">
                  <c:v>0.013624713341427222</c:v>
                </c:pt>
                <c:pt idx="30">
                  <c:v>0.013674239726515205</c:v>
                </c:pt>
                <c:pt idx="31">
                  <c:v>0.015406162464985995</c:v>
                </c:pt>
                <c:pt idx="32">
                  <c:v>0.01622731062792637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Req3!$C$152:$AI$152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0.0007970667941973537</c:v>
                </c:pt>
                <c:pt idx="22">
                  <c:v>0.0022745042291563012</c:v>
                </c:pt>
                <c:pt idx="23">
                  <c:v>0.002416237113402062</c:v>
                </c:pt>
                <c:pt idx="24">
                  <c:v>0.00403026232058262</c:v>
                </c:pt>
                <c:pt idx="25">
                  <c:v>0.004197271773347324</c:v>
                </c:pt>
                <c:pt idx="26">
                  <c:v>0.004531379805150669</c:v>
                </c:pt>
                <c:pt idx="27">
                  <c:v>0.004957408183214635</c:v>
                </c:pt>
                <c:pt idx="28">
                  <c:v>0.004887440758293839</c:v>
                </c:pt>
                <c:pt idx="29">
                  <c:v>0.0049912316201268046</c:v>
                </c:pt>
                <c:pt idx="30">
                  <c:v>0.006481019870379603</c:v>
                </c:pt>
                <c:pt idx="31">
                  <c:v>0.0070028011204481795</c:v>
                </c:pt>
                <c:pt idx="32">
                  <c:v>0.006478096337630685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Req3!$C$153:$AI$153</c:f>
              <c:numCache>
                <c:ptCount val="33"/>
                <c:pt idx="0">
                  <c:v>0.003965832824893227</c:v>
                </c:pt>
                <c:pt idx="1">
                  <c:v>0.0023519870235198703</c:v>
                </c:pt>
                <c:pt idx="2">
                  <c:v>0.003116096866096866</c:v>
                </c:pt>
                <c:pt idx="3">
                  <c:v>0.0027472527472527475</c:v>
                </c:pt>
                <c:pt idx="4">
                  <c:v>0.0025267927158665157</c:v>
                </c:pt>
                <c:pt idx="5">
                  <c:v>0.002357872674875557</c:v>
                </c:pt>
                <c:pt idx="6">
                  <c:v>0.0021006638097638853</c:v>
                </c:pt>
                <c:pt idx="7">
                  <c:v>0.0026807473598700242</c:v>
                </c:pt>
                <c:pt idx="8">
                  <c:v>0.0020127474002012745</c:v>
                </c:pt>
                <c:pt idx="9">
                  <c:v>0.0023414985590778097</c:v>
                </c:pt>
                <c:pt idx="10">
                  <c:v>0.002698852987480321</c:v>
                </c:pt>
                <c:pt idx="11">
                  <c:v>0.002404231447347331</c:v>
                </c:pt>
                <c:pt idx="12">
                  <c:v>0.0021148036253776435</c:v>
                </c:pt>
                <c:pt idx="13">
                  <c:v>0.0022665103556076594</c:v>
                </c:pt>
                <c:pt idx="14">
                  <c:v>0.0025516503415919005</c:v>
                </c:pt>
                <c:pt idx="15">
                  <c:v>0.0026760455692331217</c:v>
                </c:pt>
                <c:pt idx="16">
                  <c:v>0.0019986163425320933</c:v>
                </c:pt>
                <c:pt idx="17">
                  <c:v>0.0029143037177063644</c:v>
                </c:pt>
                <c:pt idx="18">
                  <c:v>0.0023508000303329034</c:v>
                </c:pt>
                <c:pt idx="19">
                  <c:v>0.0025196383577886466</c:v>
                </c:pt>
                <c:pt idx="20">
                  <c:v>0.002829827915869981</c:v>
                </c:pt>
                <c:pt idx="21">
                  <c:v>0.0020723736649131195</c:v>
                </c:pt>
                <c:pt idx="22">
                  <c:v>0.0025588172578008385</c:v>
                </c:pt>
                <c:pt idx="23">
                  <c:v>0.002416237113402062</c:v>
                </c:pt>
                <c:pt idx="24">
                  <c:v>0.002050484338542035</c:v>
                </c:pt>
                <c:pt idx="25">
                  <c:v>0.002658272123119972</c:v>
                </c:pt>
                <c:pt idx="26">
                  <c:v>0.002114643909070312</c:v>
                </c:pt>
                <c:pt idx="27">
                  <c:v>0.0024437927663734115</c:v>
                </c:pt>
                <c:pt idx="28">
                  <c:v>0.002221563981042654</c:v>
                </c:pt>
                <c:pt idx="29">
                  <c:v>0.0024281667341157424</c:v>
                </c:pt>
                <c:pt idx="30">
                  <c:v>0.002635139947297201</c:v>
                </c:pt>
                <c:pt idx="31">
                  <c:v>0.0024325519681556835</c:v>
                </c:pt>
                <c:pt idx="32">
                  <c:v>0.002565582707972548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Req3!$C$154:$AI$154</c:f>
              <c:numCache>
                <c:ptCount val="33"/>
                <c:pt idx="0">
                  <c:v>0.016778523489932886</c:v>
                </c:pt>
                <c:pt idx="1">
                  <c:v>0.017842660178426603</c:v>
                </c:pt>
                <c:pt idx="2">
                  <c:v>0.020032051282051284</c:v>
                </c:pt>
                <c:pt idx="3">
                  <c:v>0.016660758596242466</c:v>
                </c:pt>
                <c:pt idx="4">
                  <c:v>0.017861810577677092</c:v>
                </c:pt>
                <c:pt idx="5">
                  <c:v>0.014321893284429307</c:v>
                </c:pt>
                <c:pt idx="6">
                  <c:v>0.017729602554407194</c:v>
                </c:pt>
                <c:pt idx="7">
                  <c:v>0.016978066612510154</c:v>
                </c:pt>
                <c:pt idx="8">
                  <c:v>0.016605166051660517</c:v>
                </c:pt>
                <c:pt idx="9">
                  <c:v>0.017651296829971182</c:v>
                </c:pt>
                <c:pt idx="10">
                  <c:v>0.015818277232176325</c:v>
                </c:pt>
                <c:pt idx="11">
                  <c:v>0.014906234973553454</c:v>
                </c:pt>
                <c:pt idx="12">
                  <c:v>0.015332326283987915</c:v>
                </c:pt>
                <c:pt idx="13">
                  <c:v>0.014615084017194217</c:v>
                </c:pt>
                <c:pt idx="14">
                  <c:v>0.015392213350893077</c:v>
                </c:pt>
                <c:pt idx="15">
                  <c:v>0.015138772077375946</c:v>
                </c:pt>
                <c:pt idx="16">
                  <c:v>0.014759012991006227</c:v>
                </c:pt>
                <c:pt idx="17">
                  <c:v>0.01543793320730939</c:v>
                </c:pt>
                <c:pt idx="18">
                  <c:v>0.016228103435201334</c:v>
                </c:pt>
                <c:pt idx="19">
                  <c:v>0.015043723136208685</c:v>
                </c:pt>
                <c:pt idx="20">
                  <c:v>0.01560229445506692</c:v>
                </c:pt>
                <c:pt idx="21">
                  <c:v>0.014506615654391838</c:v>
                </c:pt>
                <c:pt idx="22">
                  <c:v>0.01499751226099936</c:v>
                </c:pt>
                <c:pt idx="23">
                  <c:v>0.013128221649484536</c:v>
                </c:pt>
                <c:pt idx="24">
                  <c:v>0.013504914091776852</c:v>
                </c:pt>
                <c:pt idx="25">
                  <c:v>0.012941587967820916</c:v>
                </c:pt>
                <c:pt idx="26">
                  <c:v>0.013594139415452004</c:v>
                </c:pt>
                <c:pt idx="27">
                  <c:v>0.012637899734673929</c:v>
                </c:pt>
                <c:pt idx="28">
                  <c:v>0.01273696682464455</c:v>
                </c:pt>
                <c:pt idx="29">
                  <c:v>0.01261297720221233</c:v>
                </c:pt>
                <c:pt idx="30">
                  <c:v>0.012178619756427604</c:v>
                </c:pt>
                <c:pt idx="31">
                  <c:v>0.011057054400707651</c:v>
                </c:pt>
                <c:pt idx="32">
                  <c:v>0.01173754088897441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Req3!$C$155:$AI$155</c:f>
              <c:numCache>
                <c:ptCount val="33"/>
                <c:pt idx="0">
                  <c:v>0.006711409395973154</c:v>
                </c:pt>
                <c:pt idx="1">
                  <c:v>0.0072992700729927005</c:v>
                </c:pt>
                <c:pt idx="2">
                  <c:v>0.007745726495726496</c:v>
                </c:pt>
                <c:pt idx="3">
                  <c:v>0.006823821339950372</c:v>
                </c:pt>
                <c:pt idx="4">
                  <c:v>0.006970462664459353</c:v>
                </c:pt>
                <c:pt idx="5">
                  <c:v>0.00707361802462667</c:v>
                </c:pt>
                <c:pt idx="6">
                  <c:v>0.006890177296025544</c:v>
                </c:pt>
                <c:pt idx="7">
                  <c:v>0.006580016246953696</c:v>
                </c:pt>
                <c:pt idx="8">
                  <c:v>0.006457564575645757</c:v>
                </c:pt>
                <c:pt idx="9">
                  <c:v>0.007384726224783862</c:v>
                </c:pt>
                <c:pt idx="10">
                  <c:v>0.007271909438488642</c:v>
                </c:pt>
                <c:pt idx="11">
                  <c:v>0.0064914249078377945</c:v>
                </c:pt>
                <c:pt idx="12">
                  <c:v>0.007099697885196375</c:v>
                </c:pt>
                <c:pt idx="13">
                  <c:v>0.007346619773348964</c:v>
                </c:pt>
                <c:pt idx="14">
                  <c:v>0.005926413696600543</c:v>
                </c:pt>
                <c:pt idx="15">
                  <c:v>0.006346050921324261</c:v>
                </c:pt>
                <c:pt idx="16">
                  <c:v>0.007302636636174956</c:v>
                </c:pt>
                <c:pt idx="17">
                  <c:v>0.006852551984877127</c:v>
                </c:pt>
                <c:pt idx="18">
                  <c:v>0.006673238795783726</c:v>
                </c:pt>
                <c:pt idx="19">
                  <c:v>0.00755891507336594</c:v>
                </c:pt>
                <c:pt idx="20">
                  <c:v>0.00803059273422562</c:v>
                </c:pt>
                <c:pt idx="21">
                  <c:v>0.006934481109516977</c:v>
                </c:pt>
                <c:pt idx="22">
                  <c:v>0.0067524344303077685</c:v>
                </c:pt>
                <c:pt idx="23">
                  <c:v>0.0067654639175257734</c:v>
                </c:pt>
                <c:pt idx="24">
                  <c:v>0.0063635720851304535</c:v>
                </c:pt>
                <c:pt idx="25">
                  <c:v>0.006225953130465198</c:v>
                </c:pt>
                <c:pt idx="26">
                  <c:v>0.007174684691488558</c:v>
                </c:pt>
                <c:pt idx="27">
                  <c:v>0.006842619745845552</c:v>
                </c:pt>
                <c:pt idx="28">
                  <c:v>0.006294431279620853</c:v>
                </c:pt>
                <c:pt idx="29">
                  <c:v>0.007217051126399568</c:v>
                </c:pt>
                <c:pt idx="30">
                  <c:v>0.005412719891745603</c:v>
                </c:pt>
                <c:pt idx="31">
                  <c:v>0.007371369600471768</c:v>
                </c:pt>
                <c:pt idx="32">
                  <c:v>0.005900840228336861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Req3!$C$156:$AI$156</c:f>
              <c:numCache>
                <c:ptCount val="33"/>
                <c:pt idx="0">
                  <c:v>0.003559080740288794</c:v>
                </c:pt>
                <c:pt idx="1">
                  <c:v>0.0035685320356853203</c:v>
                </c:pt>
                <c:pt idx="2">
                  <c:v>0.003205128205128205</c:v>
                </c:pt>
                <c:pt idx="3">
                  <c:v>0.002924494859978731</c:v>
                </c:pt>
                <c:pt idx="4">
                  <c:v>0.0029624466323952253</c:v>
                </c:pt>
                <c:pt idx="5">
                  <c:v>0.0024452012924635405</c:v>
                </c:pt>
                <c:pt idx="6">
                  <c:v>0.002436770019326107</c:v>
                </c:pt>
                <c:pt idx="7">
                  <c:v>0.0021933387489845653</c:v>
                </c:pt>
                <c:pt idx="8">
                  <c:v>0.0028513921502851393</c:v>
                </c:pt>
                <c:pt idx="9">
                  <c:v>0.0022514409221902018</c:v>
                </c:pt>
                <c:pt idx="10">
                  <c:v>0.0024739485718569608</c:v>
                </c:pt>
                <c:pt idx="11">
                  <c:v>0.0024843724955922425</c:v>
                </c:pt>
                <c:pt idx="12">
                  <c:v>0.0022658610271903325</c:v>
                </c:pt>
                <c:pt idx="13">
                  <c:v>0.002032043767096522</c:v>
                </c:pt>
                <c:pt idx="14">
                  <c:v>0.0021400938348835295</c:v>
                </c:pt>
                <c:pt idx="15">
                  <c:v>0.0021408364553864973</c:v>
                </c:pt>
                <c:pt idx="16">
                  <c:v>0.0019217464832039356</c:v>
                </c:pt>
                <c:pt idx="17">
                  <c:v>0.0024417139256458728</c:v>
                </c:pt>
                <c:pt idx="18">
                  <c:v>0.00219913551224691</c:v>
                </c:pt>
                <c:pt idx="19">
                  <c:v>0.002445531347265451</c:v>
                </c:pt>
                <c:pt idx="20">
                  <c:v>0.0023709369024856597</c:v>
                </c:pt>
                <c:pt idx="21">
                  <c:v>0.002152080344332855</c:v>
                </c:pt>
                <c:pt idx="22">
                  <c:v>0.002061269457672898</c:v>
                </c:pt>
                <c:pt idx="23">
                  <c:v>0.0015302835051546392</c:v>
                </c:pt>
                <c:pt idx="24">
                  <c:v>0.0019797779820405854</c:v>
                </c:pt>
                <c:pt idx="25">
                  <c:v>0.0017488632388947185</c:v>
                </c:pt>
                <c:pt idx="26">
                  <c:v>0.002114643909070312</c:v>
                </c:pt>
                <c:pt idx="27">
                  <c:v>0.0020946795140343527</c:v>
                </c:pt>
                <c:pt idx="28">
                  <c:v>0.0017772511848341231</c:v>
                </c:pt>
                <c:pt idx="29">
                  <c:v>0.0021583704303251047</c:v>
                </c:pt>
                <c:pt idx="30">
                  <c:v>0.002350259952994801</c:v>
                </c:pt>
                <c:pt idx="31">
                  <c:v>0.0025799793601651187</c:v>
                </c:pt>
                <c:pt idx="32">
                  <c:v>0.0019241870309794113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Req3!$C$157:$AI$157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0.007036747458952306</c:v>
                </c:pt>
                <c:pt idx="23">
                  <c:v>0.019732603092783504</c:v>
                </c:pt>
                <c:pt idx="24">
                  <c:v>0.030333026939121828</c:v>
                </c:pt>
                <c:pt idx="25">
                  <c:v>0.041133263378803776</c:v>
                </c:pt>
                <c:pt idx="26">
                  <c:v>0.04916547088588475</c:v>
                </c:pt>
                <c:pt idx="27">
                  <c:v>0.051040357491970396</c:v>
                </c:pt>
                <c:pt idx="28">
                  <c:v>0.055316943127962086</c:v>
                </c:pt>
                <c:pt idx="29">
                  <c:v>0.05611763118845272</c:v>
                </c:pt>
                <c:pt idx="30">
                  <c:v>0.06003845879923082</c:v>
                </c:pt>
                <c:pt idx="31">
                  <c:v>0.05933952528379773</c:v>
                </c:pt>
                <c:pt idx="32">
                  <c:v>0.06163812455904047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Req3!$C$158:$AI$158</c:f>
              <c:numCache>
                <c:ptCount val="33"/>
                <c:pt idx="0">
                  <c:v>0.12527964205816555</c:v>
                </c:pt>
                <c:pt idx="1">
                  <c:v>0.12311435523114356</c:v>
                </c:pt>
                <c:pt idx="2">
                  <c:v>0.12740384615384615</c:v>
                </c:pt>
                <c:pt idx="3">
                  <c:v>0.12132222616093584</c:v>
                </c:pt>
                <c:pt idx="4">
                  <c:v>0.12259301211117887</c:v>
                </c:pt>
                <c:pt idx="5">
                  <c:v>0.12147410706488516</c:v>
                </c:pt>
                <c:pt idx="6">
                  <c:v>0.1255356692714898</c:v>
                </c:pt>
                <c:pt idx="7">
                  <c:v>0.12761982128350935</c:v>
                </c:pt>
                <c:pt idx="8">
                  <c:v>0.1262160348876216</c:v>
                </c:pt>
                <c:pt idx="9">
                  <c:v>0.12932276657060518</c:v>
                </c:pt>
                <c:pt idx="10">
                  <c:v>0.12377239673138916</c:v>
                </c:pt>
                <c:pt idx="11">
                  <c:v>0.12542074050328578</c:v>
                </c:pt>
                <c:pt idx="12">
                  <c:v>0.12212990936555891</c:v>
                </c:pt>
                <c:pt idx="13">
                  <c:v>0.1254396248534584</c:v>
                </c:pt>
                <c:pt idx="14">
                  <c:v>0.12461931023129476</c:v>
                </c:pt>
                <c:pt idx="15">
                  <c:v>0.1260035170884624</c:v>
                </c:pt>
                <c:pt idx="16">
                  <c:v>0.12237681605042663</c:v>
                </c:pt>
                <c:pt idx="17">
                  <c:v>0.12413358538122243</c:v>
                </c:pt>
                <c:pt idx="18">
                  <c:v>0.12299992416774096</c:v>
                </c:pt>
                <c:pt idx="19">
                  <c:v>0.12368460056321327</c:v>
                </c:pt>
                <c:pt idx="20">
                  <c:v>0.12091778202676864</c:v>
                </c:pt>
                <c:pt idx="21">
                  <c:v>0.12091503267973856</c:v>
                </c:pt>
                <c:pt idx="22">
                  <c:v>0.11457815054374866</c:v>
                </c:pt>
                <c:pt idx="23">
                  <c:v>0.10115979381443299</c:v>
                </c:pt>
                <c:pt idx="24">
                  <c:v>0.08696881849678285</c:v>
                </c:pt>
                <c:pt idx="25">
                  <c:v>0.08219657222805177</c:v>
                </c:pt>
                <c:pt idx="26">
                  <c:v>0.07559851974926365</c:v>
                </c:pt>
                <c:pt idx="27">
                  <c:v>0.07352325094260578</c:v>
                </c:pt>
                <c:pt idx="28">
                  <c:v>0.06723933649289099</c:v>
                </c:pt>
                <c:pt idx="29">
                  <c:v>0.06825846485903143</c:v>
                </c:pt>
                <c:pt idx="30">
                  <c:v>0.06409799871804002</c:v>
                </c:pt>
                <c:pt idx="31">
                  <c:v>0.0646469113961374</c:v>
                </c:pt>
                <c:pt idx="32">
                  <c:v>0.06285677634532744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Req3!$C$159:$AI$159</c:f>
              <c:numCache>
                <c:ptCount val="33"/>
                <c:pt idx="0">
                  <c:v>0.07524913565182022</c:v>
                </c:pt>
                <c:pt idx="1">
                  <c:v>0.07347931873479319</c:v>
                </c:pt>
                <c:pt idx="2">
                  <c:v>0.07558760683760683</c:v>
                </c:pt>
                <c:pt idx="3">
                  <c:v>0.07222616093583835</c:v>
                </c:pt>
                <c:pt idx="4">
                  <c:v>0.07188289622723708</c:v>
                </c:pt>
                <c:pt idx="5">
                  <c:v>0.07187145227491049</c:v>
                </c:pt>
                <c:pt idx="6">
                  <c:v>0.070498277455676</c:v>
                </c:pt>
                <c:pt idx="7">
                  <c:v>0.07026807473598701</c:v>
                </c:pt>
                <c:pt idx="8">
                  <c:v>0.06734317343173432</c:v>
                </c:pt>
                <c:pt idx="9">
                  <c:v>0.06637247838616715</c:v>
                </c:pt>
                <c:pt idx="10">
                  <c:v>0.06372291775995202</c:v>
                </c:pt>
                <c:pt idx="11">
                  <c:v>0.06555537746433723</c:v>
                </c:pt>
                <c:pt idx="12">
                  <c:v>0.06442598187311178</c:v>
                </c:pt>
                <c:pt idx="13">
                  <c:v>0.0618210238374365</c:v>
                </c:pt>
                <c:pt idx="14">
                  <c:v>0.06313276812906413</c:v>
                </c:pt>
                <c:pt idx="15">
                  <c:v>0.06093738053367995</c:v>
                </c:pt>
                <c:pt idx="16">
                  <c:v>0.061034668306557</c:v>
                </c:pt>
                <c:pt idx="17">
                  <c:v>0.0593887838689351</c:v>
                </c:pt>
                <c:pt idx="18">
                  <c:v>0.06210662015621445</c:v>
                </c:pt>
                <c:pt idx="19">
                  <c:v>0.05935971542907959</c:v>
                </c:pt>
                <c:pt idx="20">
                  <c:v>0.05980879541108987</c:v>
                </c:pt>
                <c:pt idx="21">
                  <c:v>0.05954088952654232</c:v>
                </c:pt>
                <c:pt idx="22">
                  <c:v>0.057502310043357735</c:v>
                </c:pt>
                <c:pt idx="23">
                  <c:v>0.05678157216494845</c:v>
                </c:pt>
                <c:pt idx="24">
                  <c:v>0.053312592802092905</c:v>
                </c:pt>
                <c:pt idx="25">
                  <c:v>0.05190626093039524</c:v>
                </c:pt>
                <c:pt idx="26">
                  <c:v>0.050902499811192506</c:v>
                </c:pt>
                <c:pt idx="27">
                  <c:v>0.04824745147325792</c:v>
                </c:pt>
                <c:pt idx="28">
                  <c:v>0.04731931279620853</c:v>
                </c:pt>
                <c:pt idx="29">
                  <c:v>0.04788884392283826</c:v>
                </c:pt>
                <c:pt idx="30">
                  <c:v>0.04629299907414002</c:v>
                </c:pt>
                <c:pt idx="31">
                  <c:v>0.04651334217897685</c:v>
                </c:pt>
                <c:pt idx="32">
                  <c:v>0.04650118658200244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Req3!$C$160:$AI$160</c:f>
              <c:numCache>
                <c:ptCount val="33"/>
                <c:pt idx="0">
                  <c:v>0.0327435428106569</c:v>
                </c:pt>
                <c:pt idx="1">
                  <c:v>0.030900243309002432</c:v>
                </c:pt>
                <c:pt idx="2">
                  <c:v>0.03107193732193732</c:v>
                </c:pt>
                <c:pt idx="3">
                  <c:v>0.03119461183977313</c:v>
                </c:pt>
                <c:pt idx="4">
                  <c:v>0.03154134355667858</c:v>
                </c:pt>
                <c:pt idx="5">
                  <c:v>0.03213693127237796</c:v>
                </c:pt>
                <c:pt idx="6">
                  <c:v>0.030165532308209394</c:v>
                </c:pt>
                <c:pt idx="7">
                  <c:v>0.029569455727051178</c:v>
                </c:pt>
                <c:pt idx="8">
                  <c:v>0.028346192552834618</c:v>
                </c:pt>
                <c:pt idx="9">
                  <c:v>0.028998559077809797</c:v>
                </c:pt>
                <c:pt idx="10">
                  <c:v>0.02856286078416673</c:v>
                </c:pt>
                <c:pt idx="11">
                  <c:v>0.02780894374098413</c:v>
                </c:pt>
                <c:pt idx="12">
                  <c:v>0.026737160120845923</c:v>
                </c:pt>
                <c:pt idx="13">
                  <c:v>0.027979679562329034</c:v>
                </c:pt>
                <c:pt idx="14">
                  <c:v>0.027080418141410816</c:v>
                </c:pt>
                <c:pt idx="15">
                  <c:v>0.025995871243978896</c:v>
                </c:pt>
                <c:pt idx="16">
                  <c:v>0.02598201245291721</c:v>
                </c:pt>
                <c:pt idx="17">
                  <c:v>0.026543793320730938</c:v>
                </c:pt>
                <c:pt idx="18">
                  <c:v>0.02631379388791992</c:v>
                </c:pt>
                <c:pt idx="19">
                  <c:v>0.025418704609456055</c:v>
                </c:pt>
                <c:pt idx="20">
                  <c:v>0.027151051625239005</c:v>
                </c:pt>
                <c:pt idx="21">
                  <c:v>0.023194643711142993</c:v>
                </c:pt>
                <c:pt idx="22">
                  <c:v>0.02530385954936385</c:v>
                </c:pt>
                <c:pt idx="23">
                  <c:v>0.022873711340206184</c:v>
                </c:pt>
                <c:pt idx="24">
                  <c:v>0.023403804001979778</c:v>
                </c:pt>
                <c:pt idx="25">
                  <c:v>0.023924449108079747</c:v>
                </c:pt>
                <c:pt idx="26">
                  <c:v>0.023034514009515897</c:v>
                </c:pt>
                <c:pt idx="27">
                  <c:v>0.02269236140203882</c:v>
                </c:pt>
                <c:pt idx="28">
                  <c:v>0.02177132701421801</c:v>
                </c:pt>
                <c:pt idx="29">
                  <c:v>0.02225819506272764</c:v>
                </c:pt>
                <c:pt idx="30">
                  <c:v>0.02079623958407521</c:v>
                </c:pt>
                <c:pt idx="31">
                  <c:v>0.02189296771340115</c:v>
                </c:pt>
                <c:pt idx="32">
                  <c:v>0.02078121993457764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Req3!$C$161:$AI$161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0.00012827913539862742</c:v>
                </c:pt>
              </c:numCache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0.225</cdr:y>
    </cdr:from>
    <cdr:to>
      <cdr:x>0.80525</cdr:x>
      <cdr:y>0.28375</cdr:y>
    </cdr:to>
    <cdr:sp>
      <cdr:nvSpPr>
        <cdr:cNvPr id="1" name="AutoShape 1"/>
        <cdr:cNvSpPr>
          <a:spLocks/>
        </cdr:cNvSpPr>
      </cdr:nvSpPr>
      <cdr:spPr>
        <a:xfrm rot="20993986">
          <a:off x="6000750" y="1285875"/>
          <a:ext cx="1438275" cy="333375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0.21125</cdr:y>
    </cdr:from>
    <cdr:to>
      <cdr:x>0.69025</cdr:x>
      <cdr:y>0.27</cdr:y>
    </cdr:to>
    <cdr:sp>
      <cdr:nvSpPr>
        <cdr:cNvPr id="2" name="TextBox 2"/>
        <cdr:cNvSpPr txBox="1">
          <a:spLocks noChangeArrowheads="1"/>
        </cdr:cNvSpPr>
      </cdr:nvSpPr>
      <cdr:spPr>
        <a:xfrm>
          <a:off x="5829300" y="1209675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+7,4%</a:t>
          </a:r>
        </a:p>
      </cdr:txBody>
    </cdr:sp>
  </cdr:relSizeAnchor>
  <cdr:relSizeAnchor xmlns:cdr="http://schemas.openxmlformats.org/drawingml/2006/chartDrawing">
    <cdr:from>
      <cdr:x>0.13025</cdr:x>
      <cdr:y>0.20925</cdr:y>
    </cdr:from>
    <cdr:to>
      <cdr:x>0.54725</cdr:x>
      <cdr:y>0.28325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200150" y="1200150"/>
          <a:ext cx="3848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+14,6% en un an et de 7,4%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0.1675</cdr:y>
    </cdr:from>
    <cdr:to>
      <cdr:x>0.642</cdr:x>
      <cdr:y>0.21475</cdr:y>
    </cdr:to>
    <cdr:sp>
      <cdr:nvSpPr>
        <cdr:cNvPr id="1" name="AutoShape 1"/>
        <cdr:cNvSpPr>
          <a:spLocks/>
        </cdr:cNvSpPr>
      </cdr:nvSpPr>
      <cdr:spPr>
        <a:xfrm>
          <a:off x="3571875" y="962025"/>
          <a:ext cx="2352675" cy="276225"/>
        </a:xfrm>
        <a:prstGeom prst="wedgeRectCallout">
          <a:avLst>
            <a:gd name="adj1" fmla="val 71310"/>
            <a:gd name="adj2" fmla="val 192856"/>
          </a:avLst>
        </a:prstGeom>
        <a:solidFill>
          <a:srgbClr val="FFCC0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 visites 16/08/06 au 15/09/06 </a:t>
          </a:r>
        </a:p>
      </cdr:txBody>
    </cdr:sp>
  </cdr:relSizeAnchor>
  <cdr:relSizeAnchor xmlns:cdr="http://schemas.openxmlformats.org/drawingml/2006/chartDrawing">
    <cdr:from>
      <cdr:x>0.342</cdr:x>
      <cdr:y>0.3025</cdr:y>
    </cdr:from>
    <cdr:to>
      <cdr:x>0.599</cdr:x>
      <cdr:y>0.35</cdr:y>
    </cdr:to>
    <cdr:sp>
      <cdr:nvSpPr>
        <cdr:cNvPr id="2" name="AutoShape 2"/>
        <cdr:cNvSpPr>
          <a:spLocks/>
        </cdr:cNvSpPr>
      </cdr:nvSpPr>
      <cdr:spPr>
        <a:xfrm>
          <a:off x="3152775" y="1733550"/>
          <a:ext cx="2371725" cy="276225"/>
        </a:xfrm>
        <a:prstGeom prst="wedgeRectCallout">
          <a:avLst>
            <a:gd name="adj1" fmla="val 80407"/>
            <a:gd name="adj2" fmla="val -65074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22 visites 25/07/06 au 15/08/06 </a:t>
          </a:r>
        </a:p>
      </cdr:txBody>
    </cdr:sp>
  </cdr:relSizeAnchor>
  <cdr:relSizeAnchor xmlns:cdr="http://schemas.openxmlformats.org/drawingml/2006/chartDrawing">
    <cdr:from>
      <cdr:x>0.6925</cdr:x>
      <cdr:y>0.1205</cdr:y>
    </cdr:from>
    <cdr:to>
      <cdr:x>0.9475</cdr:x>
      <cdr:y>0.1675</cdr:y>
    </cdr:to>
    <cdr:sp>
      <cdr:nvSpPr>
        <cdr:cNvPr id="3" name="AutoShape 3"/>
        <cdr:cNvSpPr>
          <a:spLocks/>
        </cdr:cNvSpPr>
      </cdr:nvSpPr>
      <cdr:spPr>
        <a:xfrm>
          <a:off x="6391275" y="685800"/>
          <a:ext cx="2352675" cy="266700"/>
        </a:xfrm>
        <a:prstGeom prst="wedgeRectCallout">
          <a:avLst>
            <a:gd name="adj1" fmla="val -40648"/>
            <a:gd name="adj2" fmla="val 283666"/>
          </a:avLst>
        </a:prstGeom>
        <a:solidFill>
          <a:srgbClr val="FFCC0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 visites 16/09/06 au 15/10/06 </a:t>
          </a:r>
        </a:p>
      </cdr:txBody>
    </cdr:sp>
  </cdr:relSizeAnchor>
  <cdr:relSizeAnchor xmlns:cdr="http://schemas.openxmlformats.org/drawingml/2006/chartDrawing">
    <cdr:from>
      <cdr:x>0.42775</cdr:x>
      <cdr:y>0.361</cdr:y>
    </cdr:from>
    <cdr:to>
      <cdr:x>0.685</cdr:x>
      <cdr:y>0.4335</cdr:y>
    </cdr:to>
    <cdr:sp>
      <cdr:nvSpPr>
        <cdr:cNvPr id="4" name="AutoShape 4"/>
        <cdr:cNvSpPr>
          <a:spLocks/>
        </cdr:cNvSpPr>
      </cdr:nvSpPr>
      <cdr:spPr>
        <a:xfrm>
          <a:off x="3943350" y="2076450"/>
          <a:ext cx="2381250" cy="419100"/>
        </a:xfrm>
        <a:prstGeom prst="wedgeRectCallout">
          <a:avLst>
            <a:gd name="adj1" fmla="val 69532"/>
            <a:gd name="adj2" fmla="val -142750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15 visites 16/10/06 au 15/11/06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11 ; 2ème visite =4) </a:t>
          </a:r>
        </a:p>
      </cdr:txBody>
    </cdr:sp>
  </cdr:relSizeAnchor>
  <cdr:relSizeAnchor xmlns:cdr="http://schemas.openxmlformats.org/drawingml/2006/chartDrawing">
    <cdr:from>
      <cdr:x>0.70475</cdr:x>
      <cdr:y>0.1785</cdr:y>
    </cdr:from>
    <cdr:to>
      <cdr:x>0.963</cdr:x>
      <cdr:y>0.256</cdr:y>
    </cdr:to>
    <cdr:sp>
      <cdr:nvSpPr>
        <cdr:cNvPr id="5" name="AutoShape 5"/>
        <cdr:cNvSpPr>
          <a:spLocks/>
        </cdr:cNvSpPr>
      </cdr:nvSpPr>
      <cdr:spPr>
        <a:xfrm>
          <a:off x="6505575" y="1019175"/>
          <a:ext cx="2390775" cy="447675"/>
        </a:xfrm>
        <a:prstGeom prst="wedgeRectCallout">
          <a:avLst>
            <a:gd name="adj1" fmla="val -30027"/>
            <a:gd name="adj2" fmla="val 84615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7 visites 16/11/06 au 15/12/06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0 ; 2ème visite = 7)</a:t>
          </a:r>
        </a:p>
      </cdr:txBody>
    </cdr:sp>
  </cdr:relSizeAnchor>
  <cdr:relSizeAnchor xmlns:cdr="http://schemas.openxmlformats.org/drawingml/2006/chartDrawing">
    <cdr:from>
      <cdr:x>0.734</cdr:x>
      <cdr:y>0.361</cdr:y>
    </cdr:from>
    <cdr:to>
      <cdr:x>0.993</cdr:x>
      <cdr:y>0.4335</cdr:y>
    </cdr:to>
    <cdr:sp>
      <cdr:nvSpPr>
        <cdr:cNvPr id="6" name="AutoShape 6"/>
        <cdr:cNvSpPr>
          <a:spLocks/>
        </cdr:cNvSpPr>
      </cdr:nvSpPr>
      <cdr:spPr>
        <a:xfrm>
          <a:off x="6772275" y="2076450"/>
          <a:ext cx="2390775" cy="419100"/>
        </a:xfrm>
        <a:prstGeom prst="wedgeRectCallout">
          <a:avLst>
            <a:gd name="adj1" fmla="val -31263"/>
            <a:gd name="adj2" fmla="val -134986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12 visites 17/12/06 au 16/01/07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0 ; 2ème visite = 12)</a:t>
          </a:r>
        </a:p>
      </cdr:txBody>
    </cdr:sp>
  </cdr:relSizeAnchor>
  <cdr:relSizeAnchor xmlns:cdr="http://schemas.openxmlformats.org/drawingml/2006/chartDrawing">
    <cdr:from>
      <cdr:x>0.8255</cdr:x>
      <cdr:y>0.276</cdr:y>
    </cdr:from>
    <cdr:to>
      <cdr:x>0.84625</cdr:x>
      <cdr:y>0.29775</cdr:y>
    </cdr:to>
    <cdr:sp>
      <cdr:nvSpPr>
        <cdr:cNvPr id="7" name="AutoShape 9"/>
        <cdr:cNvSpPr>
          <a:spLocks/>
        </cdr:cNvSpPr>
      </cdr:nvSpPr>
      <cdr:spPr>
        <a:xfrm>
          <a:off x="7620000" y="1581150"/>
          <a:ext cx="19050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0.256</cdr:y>
    </cdr:from>
    <cdr:to>
      <cdr:x>0.96875</cdr:x>
      <cdr:y>0.3415</cdr:y>
    </cdr:to>
    <cdr:sp>
      <cdr:nvSpPr>
        <cdr:cNvPr id="8" name="TextBox 10"/>
        <cdr:cNvSpPr txBox="1">
          <a:spLocks noChangeArrowheads="1"/>
        </cdr:cNvSpPr>
      </cdr:nvSpPr>
      <cdr:spPr>
        <a:xfrm>
          <a:off x="7810500" y="1466850"/>
          <a:ext cx="1133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+0,6% depuis  
   juil-06</a:t>
          </a:r>
        </a:p>
      </cdr:txBody>
    </cdr:sp>
  </cdr:relSizeAnchor>
  <cdr:relSizeAnchor xmlns:cdr="http://schemas.openxmlformats.org/drawingml/2006/chartDrawing">
    <cdr:from>
      <cdr:x>0.663</cdr:x>
      <cdr:y>0.159</cdr:y>
    </cdr:from>
    <cdr:to>
      <cdr:x>0.663</cdr:x>
      <cdr:y>0.851</cdr:y>
    </cdr:to>
    <cdr:sp>
      <cdr:nvSpPr>
        <cdr:cNvPr id="9" name="Line 11"/>
        <cdr:cNvSpPr>
          <a:spLocks/>
        </cdr:cNvSpPr>
      </cdr:nvSpPr>
      <cdr:spPr>
        <a:xfrm>
          <a:off x="6124575" y="914400"/>
          <a:ext cx="0" cy="39814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88">
      <selection activeCell="A3" sqref="A3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72</v>
      </c>
    </row>
    <row r="3" spans="1:24" s="70" customFormat="1" ht="39" thickBot="1">
      <c r="A3" s="72" t="s">
        <v>111</v>
      </c>
      <c r="B3" s="77" t="s">
        <v>0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  <c r="N3" s="77" t="s">
        <v>49</v>
      </c>
      <c r="O3" s="77" t="s">
        <v>50</v>
      </c>
      <c r="P3" s="77" t="s">
        <v>51</v>
      </c>
      <c r="Q3" s="77" t="s">
        <v>52</v>
      </c>
      <c r="R3" s="77" t="s">
        <v>69</v>
      </c>
      <c r="S3" s="77" t="s">
        <v>70</v>
      </c>
      <c r="T3" s="77" t="s">
        <v>76</v>
      </c>
      <c r="U3" s="77" t="s">
        <v>77</v>
      </c>
      <c r="V3" s="77" t="s">
        <v>106</v>
      </c>
      <c r="W3" s="77" t="s">
        <v>107</v>
      </c>
      <c r="X3" s="77" t="s">
        <v>110</v>
      </c>
    </row>
    <row r="4" spans="1:24" ht="26.25" thickTop="1">
      <c r="A4" s="96">
        <v>1</v>
      </c>
      <c r="B4" s="78" t="s">
        <v>78</v>
      </c>
      <c r="C4" s="97">
        <v>0</v>
      </c>
      <c r="D4" s="97">
        <v>0</v>
      </c>
      <c r="E4" s="97">
        <v>0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35.19</v>
      </c>
      <c r="L4" s="97">
        <v>64.998</v>
      </c>
      <c r="M4" s="97">
        <v>140.76</v>
      </c>
      <c r="N4" s="97">
        <v>254.61</v>
      </c>
      <c r="O4" s="97">
        <v>344.034</v>
      </c>
      <c r="P4" s="97">
        <v>512.532</v>
      </c>
      <c r="Q4" s="97">
        <v>691.38</v>
      </c>
      <c r="R4" s="97">
        <v>892.17</v>
      </c>
      <c r="S4" s="97">
        <v>1087.992</v>
      </c>
      <c r="T4" s="97">
        <v>1307.826</v>
      </c>
      <c r="U4" s="97">
        <v>1519.38</v>
      </c>
      <c r="V4" s="97">
        <v>1810.836</v>
      </c>
      <c r="W4" s="97">
        <v>1884.528</v>
      </c>
      <c r="X4" s="97">
        <v>2157.354</v>
      </c>
    </row>
    <row r="5" spans="1:24" ht="25.5">
      <c r="A5" s="96">
        <v>2</v>
      </c>
      <c r="B5" s="78" t="s">
        <v>79</v>
      </c>
      <c r="C5" s="97">
        <v>319732.148</v>
      </c>
      <c r="D5" s="97">
        <v>324005.7715</v>
      </c>
      <c r="E5" s="97">
        <v>317700.35</v>
      </c>
      <c r="F5" s="97">
        <v>313735.4715</v>
      </c>
      <c r="G5" s="97">
        <v>310895.708</v>
      </c>
      <c r="H5" s="97">
        <v>308860.589</v>
      </c>
      <c r="I5" s="97">
        <v>306256.3475</v>
      </c>
      <c r="J5" s="97">
        <v>303445.3465</v>
      </c>
      <c r="K5" s="97">
        <v>300608.2735</v>
      </c>
      <c r="L5" s="97">
        <v>298259.086</v>
      </c>
      <c r="M5" s="97">
        <v>297183.429</v>
      </c>
      <c r="N5" s="97">
        <v>293946.6135</v>
      </c>
      <c r="O5" s="97">
        <v>289687.3925</v>
      </c>
      <c r="P5" s="97">
        <v>287818.4895</v>
      </c>
      <c r="Q5" s="97">
        <v>288848.7785</v>
      </c>
      <c r="R5" s="97">
        <v>290377.9075</v>
      </c>
      <c r="S5" s="97">
        <v>290366.5225</v>
      </c>
      <c r="T5" s="97">
        <v>290269.8435</v>
      </c>
      <c r="U5" s="97">
        <v>292564.8695</v>
      </c>
      <c r="V5" s="97">
        <v>292687.7235</v>
      </c>
      <c r="W5" s="97">
        <v>291392.1875</v>
      </c>
      <c r="X5" s="97">
        <v>294830.059</v>
      </c>
    </row>
    <row r="6" spans="1:24" ht="25.5">
      <c r="A6" s="96">
        <v>3</v>
      </c>
      <c r="B6" s="78" t="s">
        <v>80</v>
      </c>
      <c r="C6" s="97">
        <v>102212.873</v>
      </c>
      <c r="D6" s="97">
        <v>104775.7055</v>
      </c>
      <c r="E6" s="97">
        <v>104881.53</v>
      </c>
      <c r="F6" s="97">
        <v>105403.872</v>
      </c>
      <c r="G6" s="97">
        <v>106355.536</v>
      </c>
      <c r="H6" s="97">
        <v>106402.8605</v>
      </c>
      <c r="I6" s="97">
        <v>107238.05</v>
      </c>
      <c r="J6" s="97">
        <v>107882.6375</v>
      </c>
      <c r="K6" s="97">
        <v>108266</v>
      </c>
      <c r="L6" s="97">
        <v>108178.425</v>
      </c>
      <c r="M6" s="97">
        <v>107859.9</v>
      </c>
      <c r="N6" s="97">
        <v>107531.75</v>
      </c>
      <c r="O6" s="97">
        <v>106226.175</v>
      </c>
      <c r="P6" s="97">
        <v>106084.925</v>
      </c>
      <c r="Q6" s="97">
        <v>105653.675</v>
      </c>
      <c r="R6" s="97">
        <v>105615.475</v>
      </c>
      <c r="S6" s="97">
        <v>105503.65</v>
      </c>
      <c r="T6" s="97">
        <v>105144.0625</v>
      </c>
      <c r="U6" s="97">
        <v>105927.825</v>
      </c>
      <c r="V6" s="97">
        <v>105283.325</v>
      </c>
      <c r="W6" s="97">
        <v>103574.5125</v>
      </c>
      <c r="X6" s="97">
        <v>103170.05</v>
      </c>
    </row>
    <row r="7" spans="1:24" ht="25.5">
      <c r="A7" s="96">
        <v>4</v>
      </c>
      <c r="B7" s="78" t="s">
        <v>81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49.631</v>
      </c>
      <c r="U7" s="97">
        <v>94.3545</v>
      </c>
      <c r="V7" s="97">
        <v>231.3035</v>
      </c>
      <c r="W7" s="97">
        <v>362.156</v>
      </c>
      <c r="X7" s="97">
        <v>587.363</v>
      </c>
    </row>
    <row r="8" spans="1:24" ht="25.5">
      <c r="A8" s="96">
        <v>5</v>
      </c>
      <c r="B8" s="78" t="s">
        <v>82</v>
      </c>
      <c r="C8" s="97">
        <v>540681.1695</v>
      </c>
      <c r="D8" s="97">
        <v>552326.8125</v>
      </c>
      <c r="E8" s="97">
        <v>551682.948</v>
      </c>
      <c r="F8" s="97">
        <v>553248.93</v>
      </c>
      <c r="G8" s="97">
        <v>556981.6185</v>
      </c>
      <c r="H8" s="97">
        <v>559677.8685</v>
      </c>
      <c r="I8" s="97">
        <v>559280.9805</v>
      </c>
      <c r="J8" s="97">
        <v>560484.5865</v>
      </c>
      <c r="K8" s="97">
        <v>561539.3595</v>
      </c>
      <c r="L8" s="97">
        <v>560551.4535</v>
      </c>
      <c r="M8" s="97">
        <v>562525.1085</v>
      </c>
      <c r="N8" s="97">
        <v>559012.434</v>
      </c>
      <c r="O8" s="97">
        <v>552673.011</v>
      </c>
      <c r="P8" s="97">
        <v>549566.931</v>
      </c>
      <c r="Q8" s="97">
        <v>548991.012</v>
      </c>
      <c r="R8" s="97">
        <v>544922.681</v>
      </c>
      <c r="S8" s="97">
        <v>536899.578</v>
      </c>
      <c r="T8" s="97">
        <v>525821.1587</v>
      </c>
      <c r="U8" s="97">
        <v>518682.7543</v>
      </c>
      <c r="V8" s="97">
        <v>507168.7774</v>
      </c>
      <c r="W8" s="97">
        <v>492798.6867</v>
      </c>
      <c r="X8" s="97">
        <v>484167.0256</v>
      </c>
    </row>
    <row r="9" spans="1:24" ht="25.5">
      <c r="A9" s="96">
        <v>6</v>
      </c>
      <c r="B9" s="78" t="s">
        <v>83</v>
      </c>
      <c r="C9" s="97">
        <v>403970.479</v>
      </c>
      <c r="D9" s="97">
        <v>414953.1375</v>
      </c>
      <c r="E9" s="97">
        <v>418814.528</v>
      </c>
      <c r="F9" s="97">
        <v>422865.6575</v>
      </c>
      <c r="G9" s="97">
        <v>429710.391</v>
      </c>
      <c r="H9" s="97">
        <v>435564.041</v>
      </c>
      <c r="I9" s="97">
        <v>440402.3855</v>
      </c>
      <c r="J9" s="97">
        <v>444683.624</v>
      </c>
      <c r="K9" s="97">
        <v>447493.376</v>
      </c>
      <c r="L9" s="97">
        <v>450452.497</v>
      </c>
      <c r="M9" s="97">
        <v>453191.6015</v>
      </c>
      <c r="N9" s="97">
        <v>453663.9305</v>
      </c>
      <c r="O9" s="97">
        <v>452103.63</v>
      </c>
      <c r="P9" s="97">
        <v>451919.9465</v>
      </c>
      <c r="Q9" s="97">
        <v>453342.989</v>
      </c>
      <c r="R9" s="97">
        <v>450917.328</v>
      </c>
      <c r="S9" s="97">
        <v>446246.4685</v>
      </c>
      <c r="T9" s="97">
        <v>437623.4445</v>
      </c>
      <c r="U9" s="97">
        <v>431149.942</v>
      </c>
      <c r="V9" s="97">
        <v>421487.2907</v>
      </c>
      <c r="W9" s="97">
        <v>409749.6514</v>
      </c>
      <c r="X9" s="97">
        <v>403329.5171</v>
      </c>
    </row>
    <row r="10" spans="1:24" ht="12.75">
      <c r="A10" s="96">
        <v>7</v>
      </c>
      <c r="B10" s="78" t="s">
        <v>84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295.483</v>
      </c>
      <c r="R10" s="97">
        <v>753.252</v>
      </c>
      <c r="S10" s="97">
        <v>1403.927</v>
      </c>
      <c r="T10" s="97">
        <v>2389.891</v>
      </c>
      <c r="U10" s="97">
        <v>4190.347</v>
      </c>
      <c r="V10" s="97">
        <v>6565.8667</v>
      </c>
      <c r="W10" s="97">
        <v>9356.429</v>
      </c>
      <c r="X10" s="97">
        <v>12677.0833</v>
      </c>
    </row>
    <row r="11" spans="1:24" ht="25.5">
      <c r="A11" s="96">
        <v>8</v>
      </c>
      <c r="B11" s="78" t="s">
        <v>85</v>
      </c>
      <c r="C11" s="97">
        <v>21648.192</v>
      </c>
      <c r="D11" s="97">
        <v>21955.994</v>
      </c>
      <c r="E11" s="97">
        <v>21792.217</v>
      </c>
      <c r="F11" s="97">
        <v>21695.103</v>
      </c>
      <c r="G11" s="97">
        <v>21515.689</v>
      </c>
      <c r="H11" s="97">
        <v>21555.193</v>
      </c>
      <c r="I11" s="97">
        <v>21520.627</v>
      </c>
      <c r="J11" s="97">
        <v>21578.237</v>
      </c>
      <c r="K11" s="97">
        <v>21758.474</v>
      </c>
      <c r="L11" s="97">
        <v>22141.992</v>
      </c>
      <c r="M11" s="97">
        <v>22148.576</v>
      </c>
      <c r="N11" s="97">
        <v>22229.23</v>
      </c>
      <c r="O11" s="97">
        <v>22327.99</v>
      </c>
      <c r="P11" s="97">
        <v>22492.59</v>
      </c>
      <c r="Q11" s="97">
        <v>22607.81</v>
      </c>
      <c r="R11" s="97">
        <v>22789.693</v>
      </c>
      <c r="S11" s="97">
        <v>23039.062</v>
      </c>
      <c r="T11" s="97">
        <v>23033.995</v>
      </c>
      <c r="U11" s="97">
        <v>23247.27</v>
      </c>
      <c r="V11" s="97">
        <v>23181.782</v>
      </c>
      <c r="W11" s="97">
        <v>22740.912</v>
      </c>
      <c r="X11" s="97">
        <v>22779.7134</v>
      </c>
    </row>
    <row r="12" spans="1:24" ht="25.5">
      <c r="A12" s="96">
        <v>9</v>
      </c>
      <c r="B12" s="78" t="s">
        <v>86</v>
      </c>
      <c r="C12" s="97">
        <v>68371.3485</v>
      </c>
      <c r="D12" s="97">
        <v>70798.2345</v>
      </c>
      <c r="E12" s="97">
        <v>71338.9845</v>
      </c>
      <c r="F12" s="97">
        <v>72200.94</v>
      </c>
      <c r="G12" s="97">
        <v>73880.5095</v>
      </c>
      <c r="H12" s="97">
        <v>74661.3525</v>
      </c>
      <c r="I12" s="97">
        <v>75332.964</v>
      </c>
      <c r="J12" s="97">
        <v>75566.568</v>
      </c>
      <c r="K12" s="97">
        <v>74631.0705</v>
      </c>
      <c r="L12" s="97">
        <v>74366.103</v>
      </c>
      <c r="M12" s="97">
        <v>74558.61</v>
      </c>
      <c r="N12" s="97">
        <v>73293.255</v>
      </c>
      <c r="O12" s="97">
        <v>72272.319</v>
      </c>
      <c r="P12" s="97">
        <v>71048.061</v>
      </c>
      <c r="Q12" s="97">
        <v>70254.24</v>
      </c>
      <c r="R12" s="97">
        <v>69475.56</v>
      </c>
      <c r="S12" s="97">
        <v>68123.685</v>
      </c>
      <c r="T12" s="97">
        <v>67231.926</v>
      </c>
      <c r="U12" s="97">
        <v>66810.319</v>
      </c>
      <c r="V12" s="97">
        <v>66061.046</v>
      </c>
      <c r="W12" s="97">
        <v>65563.704</v>
      </c>
      <c r="X12" s="97">
        <v>65466.698</v>
      </c>
    </row>
    <row r="13" spans="1:24" ht="25.5">
      <c r="A13" s="96">
        <v>10</v>
      </c>
      <c r="B13" s="78" t="s">
        <v>87</v>
      </c>
      <c r="C13" s="97">
        <v>89294.82</v>
      </c>
      <c r="D13" s="97">
        <v>91888.875</v>
      </c>
      <c r="E13" s="97">
        <v>92065.005</v>
      </c>
      <c r="F13" s="97">
        <v>92941.02</v>
      </c>
      <c r="G13" s="97">
        <v>93728.97</v>
      </c>
      <c r="H13" s="97">
        <v>93851.025</v>
      </c>
      <c r="I13" s="97">
        <v>94177.02</v>
      </c>
      <c r="J13" s="97">
        <v>94541.64</v>
      </c>
      <c r="K13" s="97">
        <v>94552.455</v>
      </c>
      <c r="L13" s="97">
        <v>95066.94</v>
      </c>
      <c r="M13" s="97">
        <v>95697.3</v>
      </c>
      <c r="N13" s="97">
        <v>94842.915</v>
      </c>
      <c r="O13" s="97">
        <v>94526.19</v>
      </c>
      <c r="P13" s="97">
        <v>93559.02</v>
      </c>
      <c r="Q13" s="97">
        <v>93421.515</v>
      </c>
      <c r="R13" s="97">
        <v>93041.445</v>
      </c>
      <c r="S13" s="97">
        <v>92658.9933</v>
      </c>
      <c r="T13" s="97">
        <v>91777.6696</v>
      </c>
      <c r="U13" s="97">
        <v>91667.5316</v>
      </c>
      <c r="V13" s="97">
        <v>90797.2294</v>
      </c>
      <c r="W13" s="97">
        <v>90214.0071</v>
      </c>
      <c r="X13" s="97">
        <v>89857.102</v>
      </c>
    </row>
    <row r="14" spans="1:24" ht="12.75">
      <c r="A14" s="96">
        <v>11</v>
      </c>
      <c r="B14" s="78" t="s">
        <v>88</v>
      </c>
      <c r="C14" s="97">
        <v>341706.98</v>
      </c>
      <c r="D14" s="97">
        <v>351253.752</v>
      </c>
      <c r="E14" s="97">
        <v>353188.72</v>
      </c>
      <c r="F14" s="97">
        <v>356146.964</v>
      </c>
      <c r="G14" s="97">
        <v>361515.676</v>
      </c>
      <c r="H14" s="97">
        <v>367233.088</v>
      </c>
      <c r="I14" s="97">
        <v>371288.152</v>
      </c>
      <c r="J14" s="97">
        <v>374805.584</v>
      </c>
      <c r="K14" s="97">
        <v>378519.556</v>
      </c>
      <c r="L14" s="97">
        <v>380432.968</v>
      </c>
      <c r="M14" s="97">
        <v>382905.568</v>
      </c>
      <c r="N14" s="97">
        <v>382489.664</v>
      </c>
      <c r="O14" s="97">
        <v>380538.212</v>
      </c>
      <c r="P14" s="97">
        <v>380063.98</v>
      </c>
      <c r="Q14" s="97">
        <v>377632.072</v>
      </c>
      <c r="R14" s="97">
        <v>375197.34</v>
      </c>
      <c r="S14" s="97">
        <v>372870.06</v>
      </c>
      <c r="T14" s="97">
        <v>367132.088</v>
      </c>
      <c r="U14" s="97">
        <v>365617.26</v>
      </c>
      <c r="V14" s="97">
        <v>360819.0895</v>
      </c>
      <c r="W14" s="97">
        <v>349984.7625</v>
      </c>
      <c r="X14" s="97">
        <v>343733.6515</v>
      </c>
    </row>
    <row r="15" spans="1:24" ht="12.75">
      <c r="A15" s="96">
        <v>12</v>
      </c>
      <c r="B15" s="78" t="s">
        <v>89</v>
      </c>
      <c r="C15" s="97">
        <v>237532.35</v>
      </c>
      <c r="D15" s="97">
        <v>244003.287</v>
      </c>
      <c r="E15" s="97">
        <v>246431.5425</v>
      </c>
      <c r="F15" s="97">
        <v>249887.561</v>
      </c>
      <c r="G15" s="97">
        <v>253727.3365</v>
      </c>
      <c r="H15" s="97">
        <v>254836.703</v>
      </c>
      <c r="I15" s="97">
        <v>255992.385</v>
      </c>
      <c r="J15" s="97">
        <v>256576.8425</v>
      </c>
      <c r="K15" s="97">
        <v>256892.229</v>
      </c>
      <c r="L15" s="97">
        <v>257331.1235</v>
      </c>
      <c r="M15" s="97">
        <v>259194.771</v>
      </c>
      <c r="N15" s="97">
        <v>259441.787</v>
      </c>
      <c r="O15" s="97">
        <v>257827.361</v>
      </c>
      <c r="P15" s="97">
        <v>257972.924</v>
      </c>
      <c r="Q15" s="97">
        <v>256080.1485</v>
      </c>
      <c r="R15" s="97">
        <v>253259.6005</v>
      </c>
      <c r="S15" s="97">
        <v>251036.9805</v>
      </c>
      <c r="T15" s="97">
        <v>248870.0065</v>
      </c>
      <c r="U15" s="97">
        <v>247664.1531</v>
      </c>
      <c r="V15" s="97">
        <v>246275.1266</v>
      </c>
      <c r="W15" s="97">
        <v>241297.8227</v>
      </c>
      <c r="X15" s="97">
        <v>240376.2041</v>
      </c>
    </row>
    <row r="16" spans="1:24" ht="12.75">
      <c r="A16" s="96">
        <v>13</v>
      </c>
      <c r="B16" s="78" t="s">
        <v>90</v>
      </c>
      <c r="C16" s="97">
        <v>226933.0905</v>
      </c>
      <c r="D16" s="97">
        <v>229787.133</v>
      </c>
      <c r="E16" s="97">
        <v>228377.8755</v>
      </c>
      <c r="F16" s="97">
        <v>228522.354</v>
      </c>
      <c r="G16" s="97">
        <v>230528.4735</v>
      </c>
      <c r="H16" s="97">
        <v>232115.3685</v>
      </c>
      <c r="I16" s="97">
        <v>232446.9585</v>
      </c>
      <c r="J16" s="97">
        <v>233754.3705</v>
      </c>
      <c r="K16" s="97">
        <v>234893.619</v>
      </c>
      <c r="L16" s="97">
        <v>235767.5955</v>
      </c>
      <c r="M16" s="97">
        <v>236996.847</v>
      </c>
      <c r="N16" s="97">
        <v>237508.443</v>
      </c>
      <c r="O16" s="97">
        <v>237089.2185</v>
      </c>
      <c r="P16" s="97">
        <v>239010.072</v>
      </c>
      <c r="Q16" s="97">
        <v>238799.3105</v>
      </c>
      <c r="R16" s="97">
        <v>237797.496</v>
      </c>
      <c r="S16" s="97">
        <v>236402.1105</v>
      </c>
      <c r="T16" s="97">
        <v>234714.7605</v>
      </c>
      <c r="U16" s="97">
        <v>235699.5143</v>
      </c>
      <c r="V16" s="97">
        <v>233049.1464</v>
      </c>
      <c r="W16" s="97">
        <v>229179.965</v>
      </c>
      <c r="X16" s="97">
        <v>229384.8666</v>
      </c>
    </row>
    <row r="17" spans="1:24" ht="12.75">
      <c r="A17" s="96">
        <v>14</v>
      </c>
      <c r="B17" s="78" t="s">
        <v>91</v>
      </c>
      <c r="C17" s="97">
        <v>17486.6355</v>
      </c>
      <c r="D17" s="97">
        <v>18317.979</v>
      </c>
      <c r="E17" s="97">
        <v>19011.9495</v>
      </c>
      <c r="F17" s="97">
        <v>19874.0835</v>
      </c>
      <c r="G17" s="97">
        <v>20454.366</v>
      </c>
      <c r="H17" s="97">
        <v>21304.6575</v>
      </c>
      <c r="I17" s="97">
        <v>21712.0395</v>
      </c>
      <c r="J17" s="97">
        <v>21622.0365</v>
      </c>
      <c r="K17" s="97">
        <v>21434.925</v>
      </c>
      <c r="L17" s="97">
        <v>21458.61</v>
      </c>
      <c r="M17" s="97">
        <v>21290.4465</v>
      </c>
      <c r="N17" s="97">
        <v>21337.8165</v>
      </c>
      <c r="O17" s="97">
        <v>20776.482</v>
      </c>
      <c r="P17" s="97">
        <v>20845.1685</v>
      </c>
      <c r="Q17" s="97">
        <v>20432.5995</v>
      </c>
      <c r="R17" s="97">
        <v>20338.412</v>
      </c>
      <c r="S17" s="97">
        <v>20785.248</v>
      </c>
      <c r="T17" s="97">
        <v>20820.86</v>
      </c>
      <c r="U17" s="97">
        <v>21021.79</v>
      </c>
      <c r="V17" s="97">
        <v>21688.6875</v>
      </c>
      <c r="W17" s="97">
        <v>22315.1115</v>
      </c>
      <c r="X17" s="97">
        <v>23436.2475</v>
      </c>
    </row>
    <row r="18" spans="1:24" ht="12.75">
      <c r="A18" s="96">
        <v>15</v>
      </c>
      <c r="B18" s="78" t="s">
        <v>92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1052.946</v>
      </c>
      <c r="N18" s="97">
        <v>3764.565</v>
      </c>
      <c r="O18" s="97">
        <v>7351.752</v>
      </c>
      <c r="P18" s="97">
        <v>12419.2905</v>
      </c>
      <c r="Q18" s="97">
        <v>18585.063</v>
      </c>
      <c r="R18" s="97">
        <v>25089.5118</v>
      </c>
      <c r="S18" s="97">
        <v>32559.0808</v>
      </c>
      <c r="T18" s="97">
        <v>40165.7505</v>
      </c>
      <c r="U18" s="97">
        <v>49022.4017</v>
      </c>
      <c r="V18" s="97">
        <v>58096.8809</v>
      </c>
      <c r="W18" s="97">
        <v>66912.5245</v>
      </c>
      <c r="X18" s="97">
        <v>78365.4233</v>
      </c>
    </row>
    <row r="19" spans="1:24" ht="12.75">
      <c r="A19" s="96">
        <v>16</v>
      </c>
      <c r="B19" s="78" t="s">
        <v>93</v>
      </c>
      <c r="C19" s="97">
        <v>91364.58</v>
      </c>
      <c r="D19" s="97">
        <v>97085.16</v>
      </c>
      <c r="E19" s="97">
        <v>100626.21</v>
      </c>
      <c r="F19" s="97">
        <v>103040.4375</v>
      </c>
      <c r="G19" s="97">
        <v>105892.4925</v>
      </c>
      <c r="H19" s="97">
        <v>109005.3225</v>
      </c>
      <c r="I19" s="97">
        <v>111725.6175</v>
      </c>
      <c r="J19" s="97">
        <v>116191.7325</v>
      </c>
      <c r="K19" s="97">
        <v>120862.35</v>
      </c>
      <c r="L19" s="97">
        <v>125796.4875</v>
      </c>
      <c r="M19" s="97">
        <v>129717.72</v>
      </c>
      <c r="N19" s="97">
        <v>134293.635</v>
      </c>
      <c r="O19" s="97">
        <v>136867.0725</v>
      </c>
      <c r="P19" s="97">
        <v>140214.6</v>
      </c>
      <c r="Q19" s="97">
        <v>144363.6675</v>
      </c>
      <c r="R19" s="97">
        <v>147514.9275</v>
      </c>
      <c r="S19" s="97">
        <v>152141.625</v>
      </c>
      <c r="T19" s="97">
        <v>154608.0075</v>
      </c>
      <c r="U19" s="97">
        <v>160052.715</v>
      </c>
      <c r="V19" s="97">
        <v>163065.3525</v>
      </c>
      <c r="W19" s="97">
        <v>164824.8975</v>
      </c>
      <c r="X19" s="97">
        <v>168898.4775</v>
      </c>
    </row>
    <row r="20" spans="1:24" ht="12.75">
      <c r="A20" s="96">
        <v>17</v>
      </c>
      <c r="B20" s="78" t="s">
        <v>94</v>
      </c>
      <c r="C20" s="97">
        <v>11059.455</v>
      </c>
      <c r="D20" s="97">
        <v>12077.298</v>
      </c>
      <c r="E20" s="97">
        <v>12968.688</v>
      </c>
      <c r="F20" s="97">
        <v>14119.203</v>
      </c>
      <c r="G20" s="97">
        <v>14888.286</v>
      </c>
      <c r="H20" s="97">
        <v>15425.193</v>
      </c>
      <c r="I20" s="97">
        <v>16190.13</v>
      </c>
      <c r="J20" s="97">
        <v>17067.009</v>
      </c>
      <c r="K20" s="97">
        <v>17773.902</v>
      </c>
      <c r="L20" s="97">
        <v>18555.423</v>
      </c>
      <c r="M20" s="97">
        <v>19498.638</v>
      </c>
      <c r="N20" s="97">
        <v>19838.61</v>
      </c>
      <c r="O20" s="97">
        <v>20499.897</v>
      </c>
      <c r="P20" s="97">
        <v>20949.738</v>
      </c>
      <c r="Q20" s="97">
        <v>21762.354</v>
      </c>
      <c r="R20" s="97">
        <v>21975.873</v>
      </c>
      <c r="S20" s="97">
        <v>22858.971</v>
      </c>
      <c r="T20" s="97">
        <v>23727.558</v>
      </c>
      <c r="U20" s="97">
        <v>24631.386</v>
      </c>
      <c r="V20" s="97">
        <v>25489.608</v>
      </c>
      <c r="W20" s="97">
        <v>26447.334</v>
      </c>
      <c r="X20" s="97">
        <v>27471.396</v>
      </c>
    </row>
    <row r="21" spans="1:24" ht="12.75">
      <c r="A21" s="96">
        <v>18</v>
      </c>
      <c r="B21" s="78" t="s">
        <v>95</v>
      </c>
      <c r="C21" s="97">
        <v>14730.6705</v>
      </c>
      <c r="D21" s="97">
        <v>23427.8785</v>
      </c>
      <c r="E21" s="97">
        <v>32373.1915</v>
      </c>
      <c r="F21" s="97">
        <v>41981.6215</v>
      </c>
      <c r="G21" s="97">
        <v>52217.0805</v>
      </c>
      <c r="H21" s="97">
        <v>63334.44</v>
      </c>
      <c r="I21" s="97">
        <v>75123.9385</v>
      </c>
      <c r="J21" s="97">
        <v>87689.329</v>
      </c>
      <c r="K21" s="97">
        <v>101285.483</v>
      </c>
      <c r="L21" s="97">
        <v>114453.092</v>
      </c>
      <c r="M21" s="97">
        <v>126089.2165</v>
      </c>
      <c r="N21" s="97">
        <v>136633.679</v>
      </c>
      <c r="O21" s="97">
        <v>145080.5265</v>
      </c>
      <c r="P21" s="97">
        <v>152649.9845</v>
      </c>
      <c r="Q21" s="97">
        <v>160995.3345</v>
      </c>
      <c r="R21" s="97">
        <v>167358.1</v>
      </c>
      <c r="S21" s="97">
        <v>174830.5715</v>
      </c>
      <c r="T21" s="97">
        <v>179666.3635</v>
      </c>
      <c r="U21" s="97">
        <v>185562.2405</v>
      </c>
      <c r="V21" s="97">
        <v>189556.731</v>
      </c>
      <c r="W21" s="97">
        <v>191735.544</v>
      </c>
      <c r="X21" s="97">
        <v>195849.576</v>
      </c>
    </row>
    <row r="22" spans="1:24" ht="12.75">
      <c r="A22" s="96">
        <v>19</v>
      </c>
      <c r="B22" s="78" t="s">
        <v>96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379.625</v>
      </c>
      <c r="M22" s="97">
        <v>2007.457</v>
      </c>
      <c r="N22" s="97">
        <v>5779.411</v>
      </c>
      <c r="O22" s="97">
        <v>10180.024</v>
      </c>
      <c r="P22" s="97">
        <v>17781.635</v>
      </c>
      <c r="Q22" s="97">
        <v>25735.538</v>
      </c>
      <c r="R22" s="97">
        <v>33403.963</v>
      </c>
      <c r="S22" s="97">
        <v>42390.446</v>
      </c>
      <c r="T22" s="97">
        <v>52303.214</v>
      </c>
      <c r="U22" s="97">
        <v>62504.497</v>
      </c>
      <c r="V22" s="97">
        <v>72086.232</v>
      </c>
      <c r="W22" s="97">
        <v>82415.069</v>
      </c>
      <c r="X22" s="97">
        <v>94939.657</v>
      </c>
    </row>
    <row r="23" spans="1:24" ht="12.75">
      <c r="A23" s="96">
        <v>20</v>
      </c>
      <c r="B23" s="78" t="s">
        <v>97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610.944</v>
      </c>
      <c r="N23" s="97">
        <v>2585.856</v>
      </c>
      <c r="O23" s="97">
        <v>4468.416</v>
      </c>
      <c r="P23" s="97">
        <v>8020.416</v>
      </c>
      <c r="Q23" s="97">
        <v>11611.488</v>
      </c>
      <c r="R23" s="97">
        <v>15302.016</v>
      </c>
      <c r="S23" s="97">
        <v>19575.072</v>
      </c>
      <c r="T23" s="97">
        <v>23642.112</v>
      </c>
      <c r="U23" s="97">
        <v>28202.88</v>
      </c>
      <c r="V23" s="97">
        <v>33797.28</v>
      </c>
      <c r="W23" s="97">
        <v>39650.976</v>
      </c>
      <c r="X23" s="97">
        <v>45781.728</v>
      </c>
    </row>
    <row r="24" spans="1:24" ht="12.75">
      <c r="A24" s="96">
        <v>21</v>
      </c>
      <c r="B24" s="78" t="s">
        <v>98</v>
      </c>
      <c r="C24" s="97">
        <v>3507.168</v>
      </c>
      <c r="D24" s="97">
        <v>3384.982</v>
      </c>
      <c r="E24" s="97">
        <v>3376.386</v>
      </c>
      <c r="F24" s="97">
        <v>3335.862</v>
      </c>
      <c r="G24" s="97">
        <v>3376.386</v>
      </c>
      <c r="H24" s="97">
        <v>3335.248</v>
      </c>
      <c r="I24" s="97">
        <v>3419.366</v>
      </c>
      <c r="J24" s="97">
        <v>3471.556</v>
      </c>
      <c r="K24" s="97">
        <v>3492.432</v>
      </c>
      <c r="L24" s="97">
        <v>3604.794</v>
      </c>
      <c r="M24" s="97">
        <v>3600.496</v>
      </c>
      <c r="N24" s="97">
        <v>3591.9</v>
      </c>
      <c r="O24" s="97">
        <v>3591.9</v>
      </c>
      <c r="P24" s="97">
        <v>3612.776</v>
      </c>
      <c r="Q24" s="97">
        <v>3697.508</v>
      </c>
      <c r="R24" s="97">
        <v>3677.86</v>
      </c>
      <c r="S24" s="97">
        <v>3673.562</v>
      </c>
      <c r="T24" s="97">
        <v>3709.788</v>
      </c>
      <c r="U24" s="97">
        <v>3710.402</v>
      </c>
      <c r="V24" s="97">
        <v>3758.294</v>
      </c>
      <c r="W24" s="97">
        <v>3741.716</v>
      </c>
      <c r="X24" s="97">
        <v>3765.662</v>
      </c>
    </row>
    <row r="25" spans="1:24" ht="25.5">
      <c r="A25" s="96">
        <v>22</v>
      </c>
      <c r="B25" s="78" t="s">
        <v>99</v>
      </c>
      <c r="C25" s="97">
        <v>15855.6235</v>
      </c>
      <c r="D25" s="97">
        <v>16113.424</v>
      </c>
      <c r="E25" s="97">
        <v>15916.967</v>
      </c>
      <c r="F25" s="97">
        <v>15628.147</v>
      </c>
      <c r="G25" s="97">
        <v>15698.5055</v>
      </c>
      <c r="H25" s="97">
        <v>15592.656</v>
      </c>
      <c r="I25" s="97">
        <v>15811.1285</v>
      </c>
      <c r="J25" s="97">
        <v>15851.9875</v>
      </c>
      <c r="K25" s="97">
        <v>15794.447</v>
      </c>
      <c r="L25" s="97">
        <v>15774.736</v>
      </c>
      <c r="M25" s="97">
        <v>15655.582</v>
      </c>
      <c r="N25" s="97">
        <v>15596.8595</v>
      </c>
      <c r="O25" s="97">
        <v>15358.1645</v>
      </c>
      <c r="P25" s="97">
        <v>15278.8</v>
      </c>
      <c r="Q25" s="97">
        <v>15211.005</v>
      </c>
      <c r="R25" s="97">
        <v>15171.6455</v>
      </c>
      <c r="S25" s="97">
        <v>15035.6245</v>
      </c>
      <c r="T25" s="97">
        <v>14859.68</v>
      </c>
      <c r="U25" s="97">
        <v>14764.835</v>
      </c>
      <c r="V25" s="97">
        <v>14432.0165</v>
      </c>
      <c r="W25" s="97">
        <v>13823.131</v>
      </c>
      <c r="X25" s="97">
        <v>13376.471</v>
      </c>
    </row>
    <row r="26" spans="1:24" ht="25.5">
      <c r="A26" s="96">
        <v>23</v>
      </c>
      <c r="B26" s="78" t="s">
        <v>100</v>
      </c>
      <c r="C26" s="97">
        <v>1715.547</v>
      </c>
      <c r="D26" s="97">
        <v>1762.651</v>
      </c>
      <c r="E26" s="97">
        <v>1763.594</v>
      </c>
      <c r="F26" s="97">
        <v>1736.937</v>
      </c>
      <c r="G26" s="97">
        <v>1737.788</v>
      </c>
      <c r="H26" s="97">
        <v>1761.938</v>
      </c>
      <c r="I26" s="97">
        <v>1770.5975</v>
      </c>
      <c r="J26" s="97">
        <v>1771.7475</v>
      </c>
      <c r="K26" s="97">
        <v>1805.6495</v>
      </c>
      <c r="L26" s="97">
        <v>1841.9895</v>
      </c>
      <c r="M26" s="97">
        <v>1850.9825</v>
      </c>
      <c r="N26" s="97">
        <v>1843.1855</v>
      </c>
      <c r="O26" s="97">
        <v>1847.5325</v>
      </c>
      <c r="P26" s="97">
        <v>1836.0785</v>
      </c>
      <c r="Q26" s="97">
        <v>1824.774</v>
      </c>
      <c r="R26" s="97">
        <v>1863.828</v>
      </c>
      <c r="S26" s="97">
        <v>1888.3575</v>
      </c>
      <c r="T26" s="97">
        <v>1867.301</v>
      </c>
      <c r="U26" s="97">
        <v>1890.37</v>
      </c>
      <c r="V26" s="97">
        <v>1871.05</v>
      </c>
      <c r="W26" s="97">
        <v>1869.7275</v>
      </c>
      <c r="X26" s="97">
        <v>1848.74</v>
      </c>
    </row>
    <row r="27" spans="1:24" ht="25.5">
      <c r="A27" s="96">
        <v>24</v>
      </c>
      <c r="B27" s="78" t="s">
        <v>101</v>
      </c>
      <c r="C27" s="97">
        <v>1849.799</v>
      </c>
      <c r="D27" s="97">
        <v>1827.504</v>
      </c>
      <c r="E27" s="97">
        <v>1744.841</v>
      </c>
      <c r="F27" s="97">
        <v>1695.449</v>
      </c>
      <c r="G27" s="97">
        <v>1673.154</v>
      </c>
      <c r="H27" s="97">
        <v>1633.023</v>
      </c>
      <c r="I27" s="97">
        <v>1648.801</v>
      </c>
      <c r="J27" s="97">
        <v>1653.603</v>
      </c>
      <c r="K27" s="97">
        <v>1689.961</v>
      </c>
      <c r="L27" s="97">
        <v>1669.381</v>
      </c>
      <c r="M27" s="97">
        <v>1683.101</v>
      </c>
      <c r="N27" s="97">
        <v>1660.463</v>
      </c>
      <c r="O27" s="97">
        <v>1594.95</v>
      </c>
      <c r="P27" s="97">
        <v>1593.235</v>
      </c>
      <c r="Q27" s="97">
        <v>1591.177</v>
      </c>
      <c r="R27" s="97">
        <v>1607.298</v>
      </c>
      <c r="S27" s="97">
        <v>1628.221</v>
      </c>
      <c r="T27" s="97">
        <v>1626.163</v>
      </c>
      <c r="U27" s="97">
        <v>1640.226</v>
      </c>
      <c r="V27" s="97">
        <v>1660.463</v>
      </c>
      <c r="W27" s="97">
        <v>1664.579</v>
      </c>
      <c r="X27" s="97">
        <v>1662.521</v>
      </c>
    </row>
    <row r="28" spans="1:24" ht="25.5">
      <c r="A28" s="96">
        <v>25</v>
      </c>
      <c r="B28" s="78" t="s">
        <v>102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582.282</v>
      </c>
      <c r="O28" s="97">
        <v>2056.923</v>
      </c>
      <c r="P28" s="97">
        <v>4629.063</v>
      </c>
      <c r="Q28" s="97">
        <v>8107.5322</v>
      </c>
      <c r="R28" s="97">
        <v>11984.4464</v>
      </c>
      <c r="S28" s="97">
        <v>16295.7051</v>
      </c>
      <c r="T28" s="97">
        <v>20721.6006</v>
      </c>
      <c r="U28" s="97">
        <v>25627.6026</v>
      </c>
      <c r="V28" s="97">
        <v>30614.8716</v>
      </c>
      <c r="W28" s="97">
        <v>35362.2846</v>
      </c>
      <c r="X28" s="97">
        <v>40993.3776</v>
      </c>
    </row>
    <row r="29" spans="1:24" ht="25.5">
      <c r="A29" s="96">
        <v>26</v>
      </c>
      <c r="B29" s="78" t="s">
        <v>103</v>
      </c>
      <c r="C29" s="97">
        <v>174715.1855</v>
      </c>
      <c r="D29" s="97">
        <v>178578.6775</v>
      </c>
      <c r="E29" s="97">
        <v>179509.2615</v>
      </c>
      <c r="F29" s="97">
        <v>180264.7075</v>
      </c>
      <c r="G29" s="97">
        <v>182968.8905</v>
      </c>
      <c r="H29" s="97">
        <v>184870.5755</v>
      </c>
      <c r="I29" s="97">
        <v>186572.2895</v>
      </c>
      <c r="J29" s="97">
        <v>187732.9055</v>
      </c>
      <c r="K29" s="97">
        <v>188737.9885</v>
      </c>
      <c r="L29" s="97">
        <v>189367.309</v>
      </c>
      <c r="M29" s="97">
        <v>189854.1665</v>
      </c>
      <c r="N29" s="97">
        <v>189528.7235</v>
      </c>
      <c r="O29" s="97">
        <v>186210.904</v>
      </c>
      <c r="P29" s="97">
        <v>182205.6025</v>
      </c>
      <c r="Q29" s="97">
        <v>177067.321</v>
      </c>
      <c r="R29" s="97">
        <v>170753.3165</v>
      </c>
      <c r="S29" s="97">
        <v>163517.308</v>
      </c>
      <c r="T29" s="97">
        <v>155551.5765</v>
      </c>
      <c r="U29" s="97">
        <v>147796.7125</v>
      </c>
      <c r="V29" s="97">
        <v>138739.4235</v>
      </c>
      <c r="W29" s="97">
        <v>128826.1165</v>
      </c>
      <c r="X29" s="97">
        <v>120678.3255</v>
      </c>
    </row>
    <row r="30" spans="1:24" ht="25.5">
      <c r="A30" s="96">
        <v>27</v>
      </c>
      <c r="B30" s="78" t="s">
        <v>104</v>
      </c>
      <c r="C30" s="97">
        <v>66905.3845</v>
      </c>
      <c r="D30" s="97">
        <v>67482.1865</v>
      </c>
      <c r="E30" s="97">
        <v>66588.5015</v>
      </c>
      <c r="F30" s="97">
        <v>65920.4835</v>
      </c>
      <c r="G30" s="97">
        <v>65661.374</v>
      </c>
      <c r="H30" s="97">
        <v>65331.272</v>
      </c>
      <c r="I30" s="97">
        <v>64721.276</v>
      </c>
      <c r="J30" s="97">
        <v>64556.5125</v>
      </c>
      <c r="K30" s="97">
        <v>64006.151</v>
      </c>
      <c r="L30" s="97">
        <v>63745.249</v>
      </c>
      <c r="M30" s="97">
        <v>63639.0805</v>
      </c>
      <c r="N30" s="97">
        <v>63237.5875</v>
      </c>
      <c r="O30" s="97">
        <v>62437.7375</v>
      </c>
      <c r="P30" s="97">
        <v>61672.0505</v>
      </c>
      <c r="Q30" s="97">
        <v>61256.7385</v>
      </c>
      <c r="R30" s="97">
        <v>60537.7545</v>
      </c>
      <c r="S30" s="97">
        <v>59743.3075</v>
      </c>
      <c r="T30" s="97">
        <v>58655.3675</v>
      </c>
      <c r="U30" s="97">
        <v>58325.8515</v>
      </c>
      <c r="V30" s="97">
        <v>57140.1695</v>
      </c>
      <c r="W30" s="97">
        <v>55945.569</v>
      </c>
      <c r="X30" s="97">
        <v>55517.6985</v>
      </c>
    </row>
    <row r="31" spans="1:24" ht="25.5">
      <c r="A31" s="96">
        <v>28</v>
      </c>
      <c r="B31" s="78" t="s">
        <v>105</v>
      </c>
      <c r="C31" s="97">
        <v>15849.95</v>
      </c>
      <c r="D31" s="97">
        <v>15974.4325</v>
      </c>
      <c r="E31" s="97">
        <v>15887.418</v>
      </c>
      <c r="F31" s="97">
        <v>15806.566</v>
      </c>
      <c r="G31" s="97">
        <v>15752.5825</v>
      </c>
      <c r="H31" s="97">
        <v>15677.4</v>
      </c>
      <c r="I31" s="97">
        <v>15554.3965</v>
      </c>
      <c r="J31" s="97">
        <v>15483.651</v>
      </c>
      <c r="K31" s="97">
        <v>15358.1825</v>
      </c>
      <c r="L31" s="97">
        <v>15409.701</v>
      </c>
      <c r="M31" s="97">
        <v>15279.7955</v>
      </c>
      <c r="N31" s="97">
        <v>15184.1535</v>
      </c>
      <c r="O31" s="97">
        <v>14929.7655</v>
      </c>
      <c r="P31" s="97">
        <v>14829.44</v>
      </c>
      <c r="Q31" s="97">
        <v>14746.616</v>
      </c>
      <c r="R31" s="97">
        <v>14638.156</v>
      </c>
      <c r="S31" s="97">
        <v>14576.531</v>
      </c>
      <c r="T31" s="97">
        <v>14419.5105</v>
      </c>
      <c r="U31" s="97">
        <v>14401.7625</v>
      </c>
      <c r="V31" s="97">
        <v>14219.8455</v>
      </c>
      <c r="W31" s="97">
        <v>14076.3825</v>
      </c>
      <c r="X31" s="97">
        <v>13994.791</v>
      </c>
    </row>
    <row r="32" spans="1:24" ht="12.75">
      <c r="A32" s="96">
        <v>29</v>
      </c>
      <c r="B32" s="78" t="s">
        <v>108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55.077</v>
      </c>
    </row>
    <row r="34" spans="1:24" s="70" customFormat="1" ht="13.5" thickBot="1">
      <c r="A34" s="94" t="s">
        <v>113</v>
      </c>
      <c r="B34" s="94" t="s">
        <v>112</v>
      </c>
      <c r="C34" s="95" t="s">
        <v>38</v>
      </c>
      <c r="D34" s="95" t="s">
        <v>39</v>
      </c>
      <c r="E34" s="95" t="s">
        <v>40</v>
      </c>
      <c r="F34" s="95" t="s">
        <v>41</v>
      </c>
      <c r="G34" s="95" t="s">
        <v>42</v>
      </c>
      <c r="H34" s="95" t="s">
        <v>43</v>
      </c>
      <c r="I34" s="95" t="s">
        <v>44</v>
      </c>
      <c r="J34" s="95" t="s">
        <v>45</v>
      </c>
      <c r="K34" s="95" t="s">
        <v>46</v>
      </c>
      <c r="L34" s="95" t="s">
        <v>47</v>
      </c>
      <c r="M34" s="95" t="s">
        <v>48</v>
      </c>
      <c r="N34" s="95" t="s">
        <v>49</v>
      </c>
      <c r="O34" s="95" t="s">
        <v>50</v>
      </c>
      <c r="P34" s="95" t="s">
        <v>51</v>
      </c>
      <c r="Q34" s="95" t="s">
        <v>52</v>
      </c>
      <c r="R34" s="95" t="s">
        <v>69</v>
      </c>
      <c r="S34" s="95" t="s">
        <v>70</v>
      </c>
      <c r="T34" s="95" t="s">
        <v>76</v>
      </c>
      <c r="U34" s="95" t="s">
        <v>77</v>
      </c>
      <c r="V34" s="95" t="s">
        <v>106</v>
      </c>
      <c r="W34" s="95" t="s">
        <v>107</v>
      </c>
      <c r="X34" s="95" t="s">
        <v>110</v>
      </c>
    </row>
    <row r="35" spans="1:24" ht="26.25" thickTop="1">
      <c r="A35">
        <v>1</v>
      </c>
      <c r="B35" s="92" t="s">
        <v>78</v>
      </c>
      <c r="C35" s="93">
        <f>VLOOKUP(1,$A$4:$AZ$32,3,FALSE)</f>
        <v>0</v>
      </c>
      <c r="D35" s="93">
        <f>VLOOKUP(1,$A$4:$AZ$32,4,FALSE)</f>
        <v>0</v>
      </c>
      <c r="E35" s="93">
        <f>VLOOKUP(1,$A$4:$AZ$32,5,FALSE)</f>
        <v>0</v>
      </c>
      <c r="F35" s="93">
        <f>VLOOKUP(1,$A$4:$AZ$32,6,FALSE)</f>
        <v>0</v>
      </c>
      <c r="G35" s="93">
        <f>VLOOKUP(1,$A$4:$AZ$32,7,FALSE)</f>
        <v>0</v>
      </c>
      <c r="H35" s="93">
        <f>VLOOKUP(1,$A$4:$AZ$32,8,FALSE)</f>
        <v>0</v>
      </c>
      <c r="I35" s="93">
        <f>VLOOKUP(1,$A$4:$AZ$32,9,FALSE)</f>
        <v>0</v>
      </c>
      <c r="J35" s="93">
        <f>VLOOKUP(1,$A$4:$AZ$32,10,FALSE)</f>
        <v>0</v>
      </c>
      <c r="K35" s="93">
        <f>VLOOKUP(1,$A$4:$AZ$32,11,FALSE)</f>
        <v>35.19</v>
      </c>
      <c r="L35" s="93">
        <f>VLOOKUP(1,$A$4:$AZ$32,12,FALSE)</f>
        <v>64.998</v>
      </c>
      <c r="M35" s="93">
        <f>VLOOKUP(1,$A$4:$AZ$32,13,FALSE)</f>
        <v>140.76</v>
      </c>
      <c r="N35" s="93">
        <f>VLOOKUP(1,$A$4:$AZ$32,14,FALSE)</f>
        <v>254.61</v>
      </c>
      <c r="O35" s="93">
        <f>VLOOKUP(1,$A$4:$AZ$32,15,FALSE)</f>
        <v>344.034</v>
      </c>
      <c r="P35" s="93">
        <f>VLOOKUP(1,$A$4:$AZ$32,16,FALSE)</f>
        <v>512.532</v>
      </c>
      <c r="Q35" s="93">
        <f>VLOOKUP(1,$A$4:$AZ$32,17,FALSE)</f>
        <v>691.38</v>
      </c>
      <c r="R35" s="93">
        <f>VLOOKUP(1,$A$4:$AZ$32,18,FALSE)</f>
        <v>892.17</v>
      </c>
      <c r="S35" s="93">
        <f>VLOOKUP(1,$A$4:$AZ$32,19,FALSE)</f>
        <v>1087.992</v>
      </c>
      <c r="T35" s="93">
        <f>VLOOKUP(1,$A$4:$AZ$32,20,FALSE)</f>
        <v>1307.826</v>
      </c>
      <c r="U35" s="93">
        <f>VLOOKUP(1,$A$4:$AZ$32,21,FALSE)</f>
        <v>1519.38</v>
      </c>
      <c r="V35" s="93">
        <f>VLOOKUP(1,$A$4:$AZ$32,22,FALSE)</f>
        <v>1810.836</v>
      </c>
      <c r="W35" s="93">
        <f>VLOOKUP(1,$A$4:$AZ$32,23,FALSE)</f>
        <v>1884.528</v>
      </c>
      <c r="X35" s="93">
        <f>VLOOKUP(1,$A$4:$AZ$32,24,FALSE)</f>
        <v>2157.354</v>
      </c>
    </row>
    <row r="36" spans="1:24" ht="25.5">
      <c r="A36">
        <v>2</v>
      </c>
      <c r="B36" s="78" t="s">
        <v>79</v>
      </c>
      <c r="C36" s="93">
        <f>VLOOKUP(2,$A$4:$AZ$32,3,FALSE)</f>
        <v>319732.148</v>
      </c>
      <c r="D36" s="93">
        <f>VLOOKUP(2,$A$4:$AZ$32,4,FALSE)</f>
        <v>324005.7715</v>
      </c>
      <c r="E36" s="93">
        <f>VLOOKUP(2,$A$4:$AZ$32,5,FALSE)</f>
        <v>317700.35</v>
      </c>
      <c r="F36" s="93">
        <f>VLOOKUP(2,$A$4:$AZ$32,6,FALSE)</f>
        <v>313735.4715</v>
      </c>
      <c r="G36" s="93">
        <f>VLOOKUP(2,$A$4:$AZ$32,7,FALSE)</f>
        <v>310895.708</v>
      </c>
      <c r="H36" s="93">
        <f>VLOOKUP(2,$A$4:$AZ$32,8,FALSE)</f>
        <v>308860.589</v>
      </c>
      <c r="I36" s="93">
        <f>VLOOKUP(2,$A$4:$AZ$32,9,FALSE)</f>
        <v>306256.3475</v>
      </c>
      <c r="J36" s="93">
        <f>VLOOKUP(2,$A$4:$AZ$32,10,FALSE)</f>
        <v>303445.3465</v>
      </c>
      <c r="K36" s="93">
        <f>VLOOKUP(2,$A$4:$AZ$32,11,FALSE)</f>
        <v>300608.2735</v>
      </c>
      <c r="L36" s="93">
        <f>VLOOKUP(2,$A$4:$AZ$32,12,FALSE)</f>
        <v>298259.086</v>
      </c>
      <c r="M36" s="93">
        <f>VLOOKUP(2,$A$4:$AZ$32,13,FALSE)</f>
        <v>297183.429</v>
      </c>
      <c r="N36" s="93">
        <f>VLOOKUP(2,$A$4:$AZ$32,14,FALSE)</f>
        <v>293946.6135</v>
      </c>
      <c r="O36" s="93">
        <f>VLOOKUP(2,$A$4:$AZ$32,15,FALSE)</f>
        <v>289687.3925</v>
      </c>
      <c r="P36" s="93">
        <f>VLOOKUP(2,$A$4:$AZ$32,16,FALSE)</f>
        <v>287818.4895</v>
      </c>
      <c r="Q36" s="93">
        <f>VLOOKUP(2,$A$4:$AZ$32,17,FALSE)</f>
        <v>288848.7785</v>
      </c>
      <c r="R36" s="93">
        <f>VLOOKUP(2,$A$4:$AZ$32,18,FALSE)</f>
        <v>290377.9075</v>
      </c>
      <c r="S36" s="93">
        <f>VLOOKUP(2,$A$4:$AZ$32,19,FALSE)</f>
        <v>290366.5225</v>
      </c>
      <c r="T36" s="93">
        <f>VLOOKUP(2,$A$4:$AZ$32,20,FALSE)</f>
        <v>290269.8435</v>
      </c>
      <c r="U36" s="93">
        <f>VLOOKUP(2,$A$4:$AZ$32,21,FALSE)</f>
        <v>292564.8695</v>
      </c>
      <c r="V36" s="93">
        <f>VLOOKUP(2,$A$4:$AZ$32,22,FALSE)</f>
        <v>292687.7235</v>
      </c>
      <c r="W36" s="93">
        <f>VLOOKUP(2,$A$4:$AZ$32,23,FALSE)</f>
        <v>291392.1875</v>
      </c>
      <c r="X36" s="93">
        <f>VLOOKUP(2,$A$4:$AZ$32,24,FALSE)</f>
        <v>294830.059</v>
      </c>
    </row>
    <row r="37" spans="1:24" ht="25.5">
      <c r="A37">
        <v>3</v>
      </c>
      <c r="B37" s="78" t="s">
        <v>80</v>
      </c>
      <c r="C37" s="93">
        <f>VLOOKUP(3,$A$4:$AZ$32,3,FALSE)</f>
        <v>102212.873</v>
      </c>
      <c r="D37" s="93">
        <f>VLOOKUP(3,$A$4:$AZ$32,4,FALSE)</f>
        <v>104775.7055</v>
      </c>
      <c r="E37" s="93">
        <f>VLOOKUP(3,$A$4:$AZ$32,5,FALSE)</f>
        <v>104881.53</v>
      </c>
      <c r="F37" s="93">
        <f>VLOOKUP(3,$A$4:$AZ$32,6,FALSE)</f>
        <v>105403.872</v>
      </c>
      <c r="G37" s="93">
        <f>VLOOKUP(3,$A$4:$AZ$32,7,FALSE)</f>
        <v>106355.536</v>
      </c>
      <c r="H37" s="93">
        <f>VLOOKUP(3,$A$4:$AZ$32,8,FALSE)</f>
        <v>106402.8605</v>
      </c>
      <c r="I37" s="93">
        <f>VLOOKUP(3,$A$4:$AZ$32,9,FALSE)</f>
        <v>107238.05</v>
      </c>
      <c r="J37" s="93">
        <f>VLOOKUP(3,$A$4:$AZ$32,10,FALSE)</f>
        <v>107882.6375</v>
      </c>
      <c r="K37" s="93">
        <f>VLOOKUP(3,$A$4:$AZ$32,11,FALSE)</f>
        <v>108266</v>
      </c>
      <c r="L37" s="93">
        <f>VLOOKUP(3,$A$4:$AZ$32,12,FALSE)</f>
        <v>108178.425</v>
      </c>
      <c r="M37" s="93">
        <f>VLOOKUP(3,$A$4:$AZ$32,13,FALSE)</f>
        <v>107859.9</v>
      </c>
      <c r="N37" s="93">
        <f>VLOOKUP(3,$A$4:$AZ$32,14,FALSE)</f>
        <v>107531.75</v>
      </c>
      <c r="O37" s="93">
        <f>VLOOKUP(3,$A$4:$AZ$32,15,FALSE)</f>
        <v>106226.175</v>
      </c>
      <c r="P37" s="93">
        <f>VLOOKUP(3,$A$4:$AZ$32,16,FALSE)</f>
        <v>106084.925</v>
      </c>
      <c r="Q37" s="93">
        <f>VLOOKUP(3,$A$4:$AZ$32,17,FALSE)</f>
        <v>105653.675</v>
      </c>
      <c r="R37" s="93">
        <f>VLOOKUP(3,$A$4:$AZ$32,18,FALSE)</f>
        <v>105615.475</v>
      </c>
      <c r="S37" s="93">
        <f>VLOOKUP(3,$A$4:$AZ$32,19,FALSE)</f>
        <v>105503.65</v>
      </c>
      <c r="T37" s="93">
        <f>VLOOKUP(3,$A$4:$AZ$32,20,FALSE)</f>
        <v>105144.0625</v>
      </c>
      <c r="U37" s="93">
        <f>VLOOKUP(3,$A$4:$AZ$32,21,FALSE)</f>
        <v>105927.825</v>
      </c>
      <c r="V37" s="93">
        <f>VLOOKUP(3,$A$4:$AZ$32,22,FALSE)</f>
        <v>105283.325</v>
      </c>
      <c r="W37" s="93">
        <f>VLOOKUP(3,$A$4:$AZ$32,23,FALSE)</f>
        <v>103574.5125</v>
      </c>
      <c r="X37" s="93">
        <f>VLOOKUP(3,$A$4:$AZ$32,24,FALSE)</f>
        <v>103170.05</v>
      </c>
    </row>
    <row r="38" spans="1:24" ht="25.5">
      <c r="A38">
        <v>4</v>
      </c>
      <c r="B38" s="78" t="s">
        <v>81</v>
      </c>
      <c r="C38" s="93">
        <f>VLOOKUP(4,$A$4:$AZ$32,3,FALSE)</f>
        <v>0</v>
      </c>
      <c r="D38" s="93">
        <f>VLOOKUP(4,$A$4:$AZ$32,4,FALSE)</f>
        <v>0</v>
      </c>
      <c r="E38" s="93">
        <f>VLOOKUP(4,$A$4:$AZ$32,5,FALSE)</f>
        <v>0</v>
      </c>
      <c r="F38" s="93">
        <f>VLOOKUP(4,$A$4:$AZ$32,6,FALSE)</f>
        <v>0</v>
      </c>
      <c r="G38" s="93">
        <f>VLOOKUP(4,$A$4:$AZ$32,7,FALSE)</f>
        <v>0</v>
      </c>
      <c r="H38" s="93">
        <f>VLOOKUP(4,$A$4:$AZ$32,8,FALSE)</f>
        <v>0</v>
      </c>
      <c r="I38" s="93">
        <f>VLOOKUP(4,$A$4:$AZ$32,9,FALSE)</f>
        <v>0</v>
      </c>
      <c r="J38" s="93">
        <f>VLOOKUP(4,$A$4:$AZ$32,10,FALSE)</f>
        <v>0</v>
      </c>
      <c r="K38" s="93">
        <f>VLOOKUP(4,$A$4:$AZ$32,11,FALSE)</f>
        <v>0</v>
      </c>
      <c r="L38" s="93">
        <f>VLOOKUP(4,$A$4:$AZ$32,12,FALSE)</f>
        <v>0</v>
      </c>
      <c r="M38" s="93">
        <f>VLOOKUP(4,$A$4:$AZ$32,13,FALSE)</f>
        <v>0</v>
      </c>
      <c r="N38" s="93">
        <f>VLOOKUP(4,$A$4:$AZ$32,14,FALSE)</f>
        <v>0</v>
      </c>
      <c r="O38" s="93">
        <f>VLOOKUP(4,$A$4:$AZ$32,15,FALSE)</f>
        <v>0</v>
      </c>
      <c r="P38" s="93">
        <f>VLOOKUP(4,$A$4:$AZ$32,16,FALSE)</f>
        <v>0</v>
      </c>
      <c r="Q38" s="93">
        <f>VLOOKUP(4,$A$4:$AZ$32,17,FALSE)</f>
        <v>0</v>
      </c>
      <c r="R38" s="93">
        <f>VLOOKUP(4,$A$4:$AZ$32,18,FALSE)</f>
        <v>0</v>
      </c>
      <c r="S38" s="93">
        <f>VLOOKUP(4,$A$4:$AZ$32,19,FALSE)</f>
        <v>0</v>
      </c>
      <c r="T38" s="93">
        <f>VLOOKUP(4,$A$4:$AZ$32,20,FALSE)</f>
        <v>49.631</v>
      </c>
      <c r="U38" s="93">
        <f>VLOOKUP(4,$A$4:$AZ$32,21,FALSE)</f>
        <v>94.3545</v>
      </c>
      <c r="V38" s="93">
        <f>VLOOKUP(4,$A$4:$AZ$32,22,FALSE)</f>
        <v>231.3035</v>
      </c>
      <c r="W38" s="93">
        <f>VLOOKUP(4,$A$4:$AZ$32,23,FALSE)</f>
        <v>362.156</v>
      </c>
      <c r="X38" s="93">
        <f>VLOOKUP(4,$A$4:$AZ$32,24,FALSE)</f>
        <v>587.363</v>
      </c>
    </row>
    <row r="39" spans="1:24" ht="25.5">
      <c r="A39">
        <v>5</v>
      </c>
      <c r="B39" s="78" t="s">
        <v>82</v>
      </c>
      <c r="C39" s="93">
        <f>VLOOKUP(5,$A$4:$AZ$32,3,FALSE)</f>
        <v>540681.1695</v>
      </c>
      <c r="D39" s="93">
        <f>VLOOKUP(5,$A$4:$AZ$32,4,FALSE)</f>
        <v>552326.8125</v>
      </c>
      <c r="E39" s="93">
        <f>VLOOKUP(5,$A$4:$AZ$32,5,FALSE)</f>
        <v>551682.948</v>
      </c>
      <c r="F39" s="93">
        <f>VLOOKUP(5,$A$4:$AZ$32,6,FALSE)</f>
        <v>553248.93</v>
      </c>
      <c r="G39" s="93">
        <f>VLOOKUP(5,$A$4:$AZ$32,7,FALSE)</f>
        <v>556981.6185</v>
      </c>
      <c r="H39" s="93">
        <f>VLOOKUP(5,$A$4:$AZ$32,8,FALSE)</f>
        <v>559677.8685</v>
      </c>
      <c r="I39" s="93">
        <f>VLOOKUP(5,$A$4:$AZ$32,9,FALSE)</f>
        <v>559280.9805</v>
      </c>
      <c r="J39" s="93">
        <f>VLOOKUP(5,$A$4:$AZ$32,10,FALSE)</f>
        <v>560484.5865</v>
      </c>
      <c r="K39" s="93">
        <f>VLOOKUP(5,$A$4:$AZ$32,11,FALSE)</f>
        <v>561539.3595</v>
      </c>
      <c r="L39" s="93">
        <f>VLOOKUP(5,$A$4:$AZ$32,12,FALSE)</f>
        <v>560551.4535</v>
      </c>
      <c r="M39" s="93">
        <f>VLOOKUP(5,$A$4:$AZ$32,13,FALSE)</f>
        <v>562525.1085</v>
      </c>
      <c r="N39" s="93">
        <f>VLOOKUP(5,$A$4:$AZ$32,14,FALSE)</f>
        <v>559012.434</v>
      </c>
      <c r="O39" s="93">
        <f>VLOOKUP(5,$A$4:$AZ$32,15,FALSE)</f>
        <v>552673.011</v>
      </c>
      <c r="P39" s="93">
        <f>VLOOKUP(5,$A$4:$AZ$32,16,FALSE)</f>
        <v>549566.931</v>
      </c>
      <c r="Q39" s="93">
        <f>VLOOKUP(5,$A$4:$AZ$32,17,FALSE)</f>
        <v>548991.012</v>
      </c>
      <c r="R39" s="93">
        <f>VLOOKUP(5,$A$4:$AZ$32,18,FALSE)</f>
        <v>544922.681</v>
      </c>
      <c r="S39" s="93">
        <f>VLOOKUP(5,$A$4:$AZ$32,19,FALSE)</f>
        <v>536899.578</v>
      </c>
      <c r="T39" s="93">
        <f>VLOOKUP(5,$A$4:$AZ$32,20,FALSE)</f>
        <v>525821.1587</v>
      </c>
      <c r="U39" s="93">
        <f>VLOOKUP(5,$A$4:$AZ$32,21,FALSE)</f>
        <v>518682.7543</v>
      </c>
      <c r="V39" s="93">
        <f>VLOOKUP(5,$A$4:$AZ$32,22,FALSE)</f>
        <v>507168.7774</v>
      </c>
      <c r="W39" s="93">
        <f>VLOOKUP(5,$A$4:$AZ$32,23,FALSE)</f>
        <v>492798.6867</v>
      </c>
      <c r="X39" s="93">
        <f>VLOOKUP(5,$A$4:$AZ$32,24,FALSE)</f>
        <v>484167.0256</v>
      </c>
    </row>
    <row r="40" spans="1:24" ht="25.5">
      <c r="A40">
        <v>6</v>
      </c>
      <c r="B40" s="78" t="s">
        <v>83</v>
      </c>
      <c r="C40" s="93">
        <f>VLOOKUP(6,$A$4:$AZ$32,3,FALSE)</f>
        <v>403970.479</v>
      </c>
      <c r="D40" s="93">
        <f>VLOOKUP(6,$A$4:$AZ$32,4,FALSE)</f>
        <v>414953.1375</v>
      </c>
      <c r="E40" s="93">
        <f>VLOOKUP(6,$A$4:$AZ$32,5,FALSE)</f>
        <v>418814.528</v>
      </c>
      <c r="F40" s="93">
        <f>VLOOKUP(6,$A$4:$AZ$32,6,FALSE)</f>
        <v>422865.6575</v>
      </c>
      <c r="G40" s="93">
        <f>VLOOKUP(6,$A$4:$AZ$32,7,FALSE)</f>
        <v>429710.391</v>
      </c>
      <c r="H40" s="93">
        <f>VLOOKUP(6,$A$4:$AZ$32,8,FALSE)</f>
        <v>435564.041</v>
      </c>
      <c r="I40" s="93">
        <f>VLOOKUP(6,$A$4:$AZ$32,9,FALSE)</f>
        <v>440402.3855</v>
      </c>
      <c r="J40" s="93">
        <f>VLOOKUP(6,$A$4:$AZ$32,10,FALSE)</f>
        <v>444683.624</v>
      </c>
      <c r="K40" s="93">
        <f>VLOOKUP(6,$A$4:$AZ$32,11,FALSE)</f>
        <v>447493.376</v>
      </c>
      <c r="L40" s="93">
        <f>VLOOKUP(6,$A$4:$AZ$32,12,FALSE)</f>
        <v>450452.497</v>
      </c>
      <c r="M40" s="93">
        <f>VLOOKUP(6,$A$4:$AZ$32,13,FALSE)</f>
        <v>453191.6015</v>
      </c>
      <c r="N40" s="93">
        <f>VLOOKUP(6,$A$4:$AZ$32,14,FALSE)</f>
        <v>453663.9305</v>
      </c>
      <c r="O40" s="93">
        <f>VLOOKUP(6,$A$4:$AZ$32,15,FALSE)</f>
        <v>452103.63</v>
      </c>
      <c r="P40" s="93">
        <f>VLOOKUP(6,$A$4:$AZ$32,16,FALSE)</f>
        <v>451919.9465</v>
      </c>
      <c r="Q40" s="93">
        <f>VLOOKUP(6,$A$4:$AZ$32,17,FALSE)</f>
        <v>453342.989</v>
      </c>
      <c r="R40" s="93">
        <f>VLOOKUP(6,$A$4:$AZ$32,18,FALSE)</f>
        <v>450917.328</v>
      </c>
      <c r="S40" s="93">
        <f>VLOOKUP(6,$A$4:$AZ$32,19,FALSE)</f>
        <v>446246.4685</v>
      </c>
      <c r="T40" s="93">
        <f>VLOOKUP(6,$A$4:$AZ$32,20,FALSE)</f>
        <v>437623.4445</v>
      </c>
      <c r="U40" s="93">
        <f>VLOOKUP(6,$A$4:$AZ$32,21,FALSE)</f>
        <v>431149.942</v>
      </c>
      <c r="V40" s="93">
        <f>VLOOKUP(6,$A$4:$AZ$32,22,FALSE)</f>
        <v>421487.2907</v>
      </c>
      <c r="W40" s="93">
        <f>VLOOKUP(6,$A$4:$AZ$32,23,FALSE)</f>
        <v>409749.6514</v>
      </c>
      <c r="X40" s="93">
        <f>VLOOKUP(6,$A$4:$AZ$32,24,FALSE)</f>
        <v>403329.5171</v>
      </c>
    </row>
    <row r="41" spans="1:24" ht="12.75">
      <c r="A41">
        <v>7</v>
      </c>
      <c r="B41" s="78" t="s">
        <v>84</v>
      </c>
      <c r="C41" s="93">
        <f>VLOOKUP(7,$A$4:$AZ$32,3,FALSE)</f>
        <v>0</v>
      </c>
      <c r="D41" s="93">
        <f>VLOOKUP(7,$A$4:$AZ$32,4,FALSE)</f>
        <v>0</v>
      </c>
      <c r="E41" s="93">
        <f>VLOOKUP(7,$A$4:$AZ$32,5,FALSE)</f>
        <v>0</v>
      </c>
      <c r="F41" s="93">
        <f>VLOOKUP(7,$A$4:$AZ$32,6,FALSE)</f>
        <v>0</v>
      </c>
      <c r="G41" s="93">
        <f>VLOOKUP(7,$A$4:$AZ$32,7,FALSE)</f>
        <v>0</v>
      </c>
      <c r="H41" s="93">
        <f>VLOOKUP(7,$A$4:$AZ$32,8,FALSE)</f>
        <v>0</v>
      </c>
      <c r="I41" s="93">
        <f>VLOOKUP(7,$A$4:$AZ$32,9,FALSE)</f>
        <v>0</v>
      </c>
      <c r="J41" s="93">
        <f>VLOOKUP(7,$A$4:$AZ$32,10,FALSE)</f>
        <v>0</v>
      </c>
      <c r="K41" s="93">
        <f>VLOOKUP(7,$A$4:$AZ$32,11,FALSE)</f>
        <v>0</v>
      </c>
      <c r="L41" s="93">
        <f>VLOOKUP(7,$A$4:$AZ$32,12,FALSE)</f>
        <v>0</v>
      </c>
      <c r="M41" s="93">
        <f>VLOOKUP(7,$A$4:$AZ$32,13,FALSE)</f>
        <v>0</v>
      </c>
      <c r="N41" s="93">
        <f>VLOOKUP(7,$A$4:$AZ$32,14,FALSE)</f>
        <v>0</v>
      </c>
      <c r="O41" s="93">
        <f>VLOOKUP(7,$A$4:$AZ$32,15,FALSE)</f>
        <v>0</v>
      </c>
      <c r="P41" s="93">
        <f>VLOOKUP(7,$A$4:$AZ$32,16,FALSE)</f>
        <v>0</v>
      </c>
      <c r="Q41" s="93">
        <f>VLOOKUP(7,$A$4:$AZ$32,17,FALSE)</f>
        <v>295.483</v>
      </c>
      <c r="R41" s="93">
        <f>VLOOKUP(7,$A$4:$AZ$32,18,FALSE)</f>
        <v>753.252</v>
      </c>
      <c r="S41" s="93">
        <f>VLOOKUP(7,$A$4:$AZ$32,19,FALSE)</f>
        <v>1403.927</v>
      </c>
      <c r="T41" s="93">
        <f>VLOOKUP(7,$A$4:$AZ$32,20,FALSE)</f>
        <v>2389.891</v>
      </c>
      <c r="U41" s="93">
        <f>VLOOKUP(7,$A$4:$AZ$32,21,FALSE)</f>
        <v>4190.347</v>
      </c>
      <c r="V41" s="93">
        <f>VLOOKUP(7,$A$4:$AZ$32,22,FALSE)</f>
        <v>6565.8667</v>
      </c>
      <c r="W41" s="93">
        <f>VLOOKUP(7,$A$4:$AZ$32,23,FALSE)</f>
        <v>9356.429</v>
      </c>
      <c r="X41" s="93">
        <f>VLOOKUP(7,$A$4:$AZ$32,24,FALSE)</f>
        <v>12677.0833</v>
      </c>
    </row>
    <row r="42" spans="1:24" ht="25.5">
      <c r="A42">
        <v>8</v>
      </c>
      <c r="B42" s="78" t="s">
        <v>85</v>
      </c>
      <c r="C42" s="93">
        <f>VLOOKUP(8,$A$4:$AZ$32,3,FALSE)</f>
        <v>21648.192</v>
      </c>
      <c r="D42" s="93">
        <f>VLOOKUP(8,$A$4:$AZ$32,4,FALSE)</f>
        <v>21955.994</v>
      </c>
      <c r="E42" s="93">
        <f>VLOOKUP(8,$A$4:$AZ$32,5,FALSE)</f>
        <v>21792.217</v>
      </c>
      <c r="F42" s="93">
        <f>VLOOKUP(8,$A$4:$AZ$32,6,FALSE)</f>
        <v>21695.103</v>
      </c>
      <c r="G42" s="93">
        <f>VLOOKUP(8,$A$4:$AZ$32,7,FALSE)</f>
        <v>21515.689</v>
      </c>
      <c r="H42" s="93">
        <f>VLOOKUP(8,$A$4:$AZ$32,8,FALSE)</f>
        <v>21555.193</v>
      </c>
      <c r="I42" s="93">
        <f>VLOOKUP(8,$A$4:$AZ$32,9,FALSE)</f>
        <v>21520.627</v>
      </c>
      <c r="J42" s="93">
        <f>VLOOKUP(8,$A$4:$AZ$32,10,FALSE)</f>
        <v>21578.237</v>
      </c>
      <c r="K42" s="93">
        <f>VLOOKUP(8,$A$4:$AZ$32,11,FALSE)</f>
        <v>21758.474</v>
      </c>
      <c r="L42" s="93">
        <f>VLOOKUP(8,$A$4:$AZ$32,12,FALSE)</f>
        <v>22141.992</v>
      </c>
      <c r="M42" s="93">
        <f>VLOOKUP(8,$A$4:$AZ$32,13,FALSE)</f>
        <v>22148.576</v>
      </c>
      <c r="N42" s="93">
        <f>VLOOKUP(8,$A$4:$AZ$32,14,FALSE)</f>
        <v>22229.23</v>
      </c>
      <c r="O42" s="93">
        <f>VLOOKUP(8,$A$4:$AZ$32,15,FALSE)</f>
        <v>22327.99</v>
      </c>
      <c r="P42" s="93">
        <f>VLOOKUP(8,$A$4:$AZ$32,16,FALSE)</f>
        <v>22492.59</v>
      </c>
      <c r="Q42" s="93">
        <f>VLOOKUP(8,$A$4:$AZ$32,17,FALSE)</f>
        <v>22607.81</v>
      </c>
      <c r="R42" s="93">
        <f>VLOOKUP(8,$A$4:$AZ$32,18,FALSE)</f>
        <v>22789.693</v>
      </c>
      <c r="S42" s="93">
        <f>VLOOKUP(8,$A$4:$AZ$32,19,FALSE)</f>
        <v>23039.062</v>
      </c>
      <c r="T42" s="93">
        <f>VLOOKUP(8,$A$4:$AZ$32,20,FALSE)</f>
        <v>23033.995</v>
      </c>
      <c r="U42" s="93">
        <f>VLOOKUP(8,$A$4:$AZ$32,21,FALSE)</f>
        <v>23247.27</v>
      </c>
      <c r="V42" s="93">
        <f>VLOOKUP(8,$A$4:$AZ$32,22,FALSE)</f>
        <v>23181.782</v>
      </c>
      <c r="W42" s="93">
        <f>VLOOKUP(8,$A$4:$AZ$32,23,FALSE)</f>
        <v>22740.912</v>
      </c>
      <c r="X42" s="93">
        <f>VLOOKUP(8,$A$4:$AZ$32,24,FALSE)</f>
        <v>22779.7134</v>
      </c>
    </row>
    <row r="43" spans="1:24" ht="25.5">
      <c r="A43">
        <v>9</v>
      </c>
      <c r="B43" s="78" t="s">
        <v>86</v>
      </c>
      <c r="C43" s="93">
        <f>VLOOKUP(9,$A$4:$AZ$32,3,FALSE)</f>
        <v>68371.3485</v>
      </c>
      <c r="D43" s="93">
        <f>VLOOKUP(9,$A$4:$AZ$32,4,FALSE)</f>
        <v>70798.2345</v>
      </c>
      <c r="E43" s="93">
        <f>VLOOKUP(9,$A$4:$AZ$32,5,FALSE)</f>
        <v>71338.9845</v>
      </c>
      <c r="F43" s="93">
        <f>VLOOKUP(9,$A$4:$AZ$32,6,FALSE)</f>
        <v>72200.94</v>
      </c>
      <c r="G43" s="93">
        <f>VLOOKUP(9,$A$4:$AZ$32,7,FALSE)</f>
        <v>73880.5095</v>
      </c>
      <c r="H43" s="93">
        <f>VLOOKUP(9,$A$4:$AZ$32,8,FALSE)</f>
        <v>74661.3525</v>
      </c>
      <c r="I43" s="93">
        <f>VLOOKUP(9,$A$4:$AZ$32,9,FALSE)</f>
        <v>75332.964</v>
      </c>
      <c r="J43" s="93">
        <f>VLOOKUP(9,$A$4:$AZ$32,10,FALSE)</f>
        <v>75566.568</v>
      </c>
      <c r="K43" s="93">
        <f>VLOOKUP(9,$A$4:$AZ$32,11,FALSE)</f>
        <v>74631.0705</v>
      </c>
      <c r="L43" s="93">
        <f>VLOOKUP(9,$A$4:$AZ$32,12,FALSE)</f>
        <v>74366.103</v>
      </c>
      <c r="M43" s="93">
        <f>VLOOKUP(9,$A$4:$AZ$32,13,FALSE)</f>
        <v>74558.61</v>
      </c>
      <c r="N43" s="93">
        <f>VLOOKUP(9,$A$4:$AZ$32,14,FALSE)</f>
        <v>73293.255</v>
      </c>
      <c r="O43" s="93">
        <f>VLOOKUP(9,$A$4:$AZ$32,15,FALSE)</f>
        <v>72272.319</v>
      </c>
      <c r="P43" s="93">
        <f>VLOOKUP(9,$A$4:$AZ$32,16,FALSE)</f>
        <v>71048.061</v>
      </c>
      <c r="Q43" s="93">
        <f>VLOOKUP(9,$A$4:$AZ$32,17,FALSE)</f>
        <v>70254.24</v>
      </c>
      <c r="R43" s="93">
        <f>VLOOKUP(9,$A$4:$AZ$32,18,FALSE)</f>
        <v>69475.56</v>
      </c>
      <c r="S43" s="93">
        <f>VLOOKUP(9,$A$4:$AZ$32,19,FALSE)</f>
        <v>68123.685</v>
      </c>
      <c r="T43" s="93">
        <f>VLOOKUP(9,$A$4:$AZ$32,20,FALSE)</f>
        <v>67231.926</v>
      </c>
      <c r="U43" s="93">
        <f>VLOOKUP(9,$A$4:$AZ$32,21,FALSE)</f>
        <v>66810.319</v>
      </c>
      <c r="V43" s="93">
        <f>VLOOKUP(9,$A$4:$AZ$32,22,FALSE)</f>
        <v>66061.046</v>
      </c>
      <c r="W43" s="93">
        <f>VLOOKUP(9,$A$4:$AZ$32,23,FALSE)</f>
        <v>65563.704</v>
      </c>
      <c r="X43" s="93">
        <f>VLOOKUP(9,$A$4:$AZ$32,24,FALSE)</f>
        <v>65466.698</v>
      </c>
    </row>
    <row r="44" spans="1:24" ht="25.5">
      <c r="A44">
        <v>10</v>
      </c>
      <c r="B44" s="78" t="s">
        <v>87</v>
      </c>
      <c r="C44" s="93">
        <f>VLOOKUP(10,$A$4:$AZ$32,3,FALSE)</f>
        <v>89294.82</v>
      </c>
      <c r="D44" s="93">
        <f>VLOOKUP(10,$A$4:$AZ$32,4,FALSE)</f>
        <v>91888.875</v>
      </c>
      <c r="E44" s="93">
        <f>VLOOKUP(10,$A$4:$AZ$32,5,FALSE)</f>
        <v>92065.005</v>
      </c>
      <c r="F44" s="93">
        <f>VLOOKUP(10,$A$4:$AZ$32,6,FALSE)</f>
        <v>92941.02</v>
      </c>
      <c r="G44" s="93">
        <f>VLOOKUP(10,$A$4:$AZ$32,7,FALSE)</f>
        <v>93728.97</v>
      </c>
      <c r="H44" s="93">
        <f>VLOOKUP(10,$A$4:$AZ$32,8,FALSE)</f>
        <v>93851.025</v>
      </c>
      <c r="I44" s="93">
        <f>VLOOKUP(10,$A$4:$AZ$32,9,FALSE)</f>
        <v>94177.02</v>
      </c>
      <c r="J44" s="93">
        <f>VLOOKUP(10,$A$4:$AZ$32,10,FALSE)</f>
        <v>94541.64</v>
      </c>
      <c r="K44" s="93">
        <f>VLOOKUP(10,$A$4:$AZ$32,11,FALSE)</f>
        <v>94552.455</v>
      </c>
      <c r="L44" s="93">
        <f>VLOOKUP(10,$A$4:$AZ$32,12,FALSE)</f>
        <v>95066.94</v>
      </c>
      <c r="M44" s="93">
        <f>VLOOKUP(10,$A$4:$AZ$32,13,FALSE)</f>
        <v>95697.3</v>
      </c>
      <c r="N44" s="93">
        <f>VLOOKUP(10,$A$4:$AZ$32,14,FALSE)</f>
        <v>94842.915</v>
      </c>
      <c r="O44" s="93">
        <f>VLOOKUP(10,$A$4:$AZ$32,15,FALSE)</f>
        <v>94526.19</v>
      </c>
      <c r="P44" s="93">
        <f>VLOOKUP(10,$A$4:$AZ$32,16,FALSE)</f>
        <v>93559.02</v>
      </c>
      <c r="Q44" s="93">
        <f>VLOOKUP(10,$A$4:$AZ$32,17,FALSE)</f>
        <v>93421.515</v>
      </c>
      <c r="R44" s="93">
        <f>VLOOKUP(10,$A$4:$AZ$32,18,FALSE)</f>
        <v>93041.445</v>
      </c>
      <c r="S44" s="93">
        <f>VLOOKUP(10,$A$4:$AZ$32,19,FALSE)</f>
        <v>92658.9933</v>
      </c>
      <c r="T44" s="93">
        <f>VLOOKUP(10,$A$4:$AZ$32,20,FALSE)</f>
        <v>91777.6696</v>
      </c>
      <c r="U44" s="93">
        <f>VLOOKUP(10,$A$4:$AZ$32,21,FALSE)</f>
        <v>91667.5316</v>
      </c>
      <c r="V44" s="93">
        <f>VLOOKUP(10,$A$4:$AZ$32,22,FALSE)</f>
        <v>90797.2294</v>
      </c>
      <c r="W44" s="93">
        <f>VLOOKUP(10,$A$4:$AZ$32,23,FALSE)</f>
        <v>90214.0071</v>
      </c>
      <c r="X44" s="93">
        <f>VLOOKUP(10,$A$4:$AZ$32,24,FALSE)</f>
        <v>89857.102</v>
      </c>
    </row>
    <row r="45" spans="1:24" ht="12.75">
      <c r="A45">
        <v>11</v>
      </c>
      <c r="B45" s="78" t="s">
        <v>88</v>
      </c>
      <c r="C45" s="93">
        <f>VLOOKUP(11,$A$4:$AZ$32,3,FALSE)</f>
        <v>341706.98</v>
      </c>
      <c r="D45" s="93">
        <f>VLOOKUP(11,$A$4:$AZ$32,4,FALSE)</f>
        <v>351253.752</v>
      </c>
      <c r="E45" s="93">
        <f>VLOOKUP(11,$A$4:$AZ$32,5,FALSE)</f>
        <v>353188.72</v>
      </c>
      <c r="F45" s="93">
        <f>VLOOKUP(11,$A$4:$AZ$32,6,FALSE)</f>
        <v>356146.964</v>
      </c>
      <c r="G45" s="93">
        <f>VLOOKUP(11,$A$4:$AZ$32,7,FALSE)</f>
        <v>361515.676</v>
      </c>
      <c r="H45" s="93">
        <f>VLOOKUP(11,$A$4:$AZ$32,8,FALSE)</f>
        <v>367233.088</v>
      </c>
      <c r="I45" s="93">
        <f>VLOOKUP(11,$A$4:$AZ$32,9,FALSE)</f>
        <v>371288.152</v>
      </c>
      <c r="J45" s="93">
        <f>VLOOKUP(11,$A$4:$AZ$32,10,FALSE)</f>
        <v>374805.584</v>
      </c>
      <c r="K45" s="93">
        <f>VLOOKUP(11,$A$4:$AZ$32,11,FALSE)</f>
        <v>378519.556</v>
      </c>
      <c r="L45" s="93">
        <f>VLOOKUP(11,$A$4:$AZ$32,12,FALSE)</f>
        <v>380432.968</v>
      </c>
      <c r="M45" s="93">
        <f>VLOOKUP(11,$A$4:$AZ$32,13,FALSE)</f>
        <v>382905.568</v>
      </c>
      <c r="N45" s="93">
        <f>VLOOKUP(11,$A$4:$AZ$32,14,FALSE)</f>
        <v>382489.664</v>
      </c>
      <c r="O45" s="93">
        <f>VLOOKUP(11,$A$4:$AZ$32,15,FALSE)</f>
        <v>380538.212</v>
      </c>
      <c r="P45" s="93">
        <f>VLOOKUP(11,$A$4:$AZ$32,16,FALSE)</f>
        <v>380063.98</v>
      </c>
      <c r="Q45" s="93">
        <f>VLOOKUP(11,$A$4:$AZ$32,17,FALSE)</f>
        <v>377632.072</v>
      </c>
      <c r="R45" s="93">
        <f>VLOOKUP(11,$A$4:$AZ$32,18,FALSE)</f>
        <v>375197.34</v>
      </c>
      <c r="S45" s="93">
        <f>VLOOKUP(11,$A$4:$AZ$32,19,FALSE)</f>
        <v>372870.06</v>
      </c>
      <c r="T45" s="93">
        <f>VLOOKUP(11,$A$4:$AZ$32,20,FALSE)</f>
        <v>367132.088</v>
      </c>
      <c r="U45" s="93">
        <f>VLOOKUP(11,$A$4:$AZ$32,21,FALSE)</f>
        <v>365617.26</v>
      </c>
      <c r="V45" s="93">
        <f>VLOOKUP(11,$A$4:$AZ$32,22,FALSE)</f>
        <v>360819.0895</v>
      </c>
      <c r="W45" s="93">
        <f>VLOOKUP(11,$A$4:$AZ$32,23,FALSE)</f>
        <v>349984.7625</v>
      </c>
      <c r="X45" s="93">
        <f>VLOOKUP(11,$A$4:$AZ$32,24,FALSE)</f>
        <v>343733.6515</v>
      </c>
    </row>
    <row r="46" spans="1:24" ht="12.75">
      <c r="A46">
        <v>12</v>
      </c>
      <c r="B46" s="78" t="s">
        <v>89</v>
      </c>
      <c r="C46" s="93">
        <f>VLOOKUP(12,$A$4:$AZ$32,3,FALSE)</f>
        <v>237532.35</v>
      </c>
      <c r="D46" s="93">
        <f>VLOOKUP(12,$A$4:$AZ$32,4,FALSE)</f>
        <v>244003.287</v>
      </c>
      <c r="E46" s="93">
        <f>VLOOKUP(12,$A$4:$AZ$32,5,FALSE)</f>
        <v>246431.5425</v>
      </c>
      <c r="F46" s="93">
        <f>VLOOKUP(12,$A$4:$AZ$32,6,FALSE)</f>
        <v>249887.561</v>
      </c>
      <c r="G46" s="93">
        <f>VLOOKUP(12,$A$4:$AZ$32,7,FALSE)</f>
        <v>253727.3365</v>
      </c>
      <c r="H46" s="93">
        <f>VLOOKUP(12,$A$4:$AZ$32,8,FALSE)</f>
        <v>254836.703</v>
      </c>
      <c r="I46" s="93">
        <f>VLOOKUP(12,$A$4:$AZ$32,9,FALSE)</f>
        <v>255992.385</v>
      </c>
      <c r="J46" s="93">
        <f>VLOOKUP(12,$A$4:$AZ$32,10,FALSE)</f>
        <v>256576.8425</v>
      </c>
      <c r="K46" s="93">
        <f>VLOOKUP(12,$A$4:$AZ$32,11,FALSE)</f>
        <v>256892.229</v>
      </c>
      <c r="L46" s="93">
        <f>VLOOKUP(12,$A$4:$AZ$32,12,FALSE)</f>
        <v>257331.1235</v>
      </c>
      <c r="M46" s="93">
        <f>VLOOKUP(12,$A$4:$AZ$32,13,FALSE)</f>
        <v>259194.771</v>
      </c>
      <c r="N46" s="93">
        <f>VLOOKUP(12,$A$4:$AZ$32,14,FALSE)</f>
        <v>259441.787</v>
      </c>
      <c r="O46" s="93">
        <f>VLOOKUP(12,$A$4:$AZ$32,15,FALSE)</f>
        <v>257827.361</v>
      </c>
      <c r="P46" s="93">
        <f>VLOOKUP(12,$A$4:$AZ$32,16,FALSE)</f>
        <v>257972.924</v>
      </c>
      <c r="Q46" s="93">
        <f>VLOOKUP(12,$A$4:$AZ$32,17,FALSE)</f>
        <v>256080.1485</v>
      </c>
      <c r="R46" s="93">
        <f>VLOOKUP(12,$A$4:$AZ$32,18,FALSE)</f>
        <v>253259.6005</v>
      </c>
      <c r="S46" s="93">
        <f>VLOOKUP(12,$A$4:$AZ$32,19,FALSE)</f>
        <v>251036.9805</v>
      </c>
      <c r="T46" s="93">
        <f>VLOOKUP(12,$A$4:$AZ$32,20,FALSE)</f>
        <v>248870.0065</v>
      </c>
      <c r="U46" s="93">
        <f>VLOOKUP(12,$A$4:$AZ$32,21,FALSE)</f>
        <v>247664.1531</v>
      </c>
      <c r="V46" s="93">
        <f>VLOOKUP(12,$A$4:$AZ$32,22,FALSE)</f>
        <v>246275.1266</v>
      </c>
      <c r="W46" s="93">
        <f>VLOOKUP(12,$A$4:$AZ$32,23,FALSE)</f>
        <v>241297.8227</v>
      </c>
      <c r="X46" s="93">
        <f>VLOOKUP(12,$A$4:$AZ$32,24,FALSE)</f>
        <v>240376.2041</v>
      </c>
    </row>
    <row r="47" spans="1:24" ht="12.75">
      <c r="A47">
        <v>13</v>
      </c>
      <c r="B47" s="78" t="s">
        <v>90</v>
      </c>
      <c r="C47" s="93">
        <f>VLOOKUP(13,$A$4:$AZ$32,3,FALSE)</f>
        <v>226933.0905</v>
      </c>
      <c r="D47" s="93">
        <f>VLOOKUP(13,$A$4:$AZ$32,4,FALSE)</f>
        <v>229787.133</v>
      </c>
      <c r="E47" s="93">
        <f>VLOOKUP(13,$A$4:$AZ$32,5,FALSE)</f>
        <v>228377.8755</v>
      </c>
      <c r="F47" s="93">
        <f>VLOOKUP(13,$A$4:$AZ$32,6,FALSE)</f>
        <v>228522.354</v>
      </c>
      <c r="G47" s="93">
        <f>VLOOKUP(13,$A$4:$AZ$32,7,FALSE)</f>
        <v>230528.4735</v>
      </c>
      <c r="H47" s="93">
        <f>VLOOKUP(13,$A$4:$AZ$32,8,FALSE)</f>
        <v>232115.3685</v>
      </c>
      <c r="I47" s="93">
        <f>VLOOKUP(13,$A$4:$AZ$32,9,FALSE)</f>
        <v>232446.9585</v>
      </c>
      <c r="J47" s="93">
        <f>VLOOKUP(13,$A$4:$AZ$32,10,FALSE)</f>
        <v>233754.3705</v>
      </c>
      <c r="K47" s="93">
        <f>VLOOKUP(13,$A$4:$AZ$32,11,FALSE)</f>
        <v>234893.619</v>
      </c>
      <c r="L47" s="93">
        <f>VLOOKUP(13,$A$4:$AZ$32,12,FALSE)</f>
        <v>235767.5955</v>
      </c>
      <c r="M47" s="93">
        <f>VLOOKUP(13,$A$4:$AZ$32,13,FALSE)</f>
        <v>236996.847</v>
      </c>
      <c r="N47" s="93">
        <f>VLOOKUP(13,$A$4:$AZ$32,14,FALSE)</f>
        <v>237508.443</v>
      </c>
      <c r="O47" s="93">
        <f>VLOOKUP(13,$A$4:$AZ$32,15,FALSE)</f>
        <v>237089.2185</v>
      </c>
      <c r="P47" s="93">
        <f>VLOOKUP(13,$A$4:$AZ$32,16,FALSE)</f>
        <v>239010.072</v>
      </c>
      <c r="Q47" s="93">
        <f>VLOOKUP(13,$A$4:$AZ$32,17,FALSE)</f>
        <v>238799.3105</v>
      </c>
      <c r="R47" s="93">
        <f>VLOOKUP(13,$A$4:$AZ$32,18,FALSE)</f>
        <v>237797.496</v>
      </c>
      <c r="S47" s="93">
        <f>VLOOKUP(13,$A$4:$AZ$32,19,FALSE)</f>
        <v>236402.1105</v>
      </c>
      <c r="T47" s="93">
        <f>VLOOKUP(13,$A$4:$AZ$32,20,FALSE)</f>
        <v>234714.7605</v>
      </c>
      <c r="U47" s="93">
        <f>VLOOKUP(13,$A$4:$AZ$32,21,FALSE)</f>
        <v>235699.5143</v>
      </c>
      <c r="V47" s="93">
        <f>VLOOKUP(13,$A$4:$AZ$32,22,FALSE)</f>
        <v>233049.1464</v>
      </c>
      <c r="W47" s="93">
        <f>VLOOKUP(13,$A$4:$AZ$32,23,FALSE)</f>
        <v>229179.965</v>
      </c>
      <c r="X47" s="93">
        <f>VLOOKUP(13,$A$4:$AZ$32,24,FALSE)</f>
        <v>229384.8666</v>
      </c>
    </row>
    <row r="48" spans="1:24" ht="12.75">
      <c r="A48">
        <v>14</v>
      </c>
      <c r="B48" s="78" t="s">
        <v>91</v>
      </c>
      <c r="C48" s="93">
        <f>VLOOKUP(14,$A$4:$AZ$32,3,FALSE)</f>
        <v>17486.6355</v>
      </c>
      <c r="D48" s="93">
        <f>VLOOKUP(14,$A$4:$AZ$32,4,FALSE)</f>
        <v>18317.979</v>
      </c>
      <c r="E48" s="93">
        <f>VLOOKUP(14,$A$4:$AZ$32,5,FALSE)</f>
        <v>19011.9495</v>
      </c>
      <c r="F48" s="93">
        <f>VLOOKUP(14,$A$4:$AZ$32,6,FALSE)</f>
        <v>19874.0835</v>
      </c>
      <c r="G48" s="93">
        <f>VLOOKUP(14,$A$4:$AZ$32,7,FALSE)</f>
        <v>20454.366</v>
      </c>
      <c r="H48" s="93">
        <f>VLOOKUP(14,$A$4:$AZ$32,8,FALSE)</f>
        <v>21304.6575</v>
      </c>
      <c r="I48" s="93">
        <f>VLOOKUP(14,$A$4:$AZ$32,9,FALSE)</f>
        <v>21712.0395</v>
      </c>
      <c r="J48" s="93">
        <f>VLOOKUP(14,$A$4:$AZ$32,10,FALSE)</f>
        <v>21622.0365</v>
      </c>
      <c r="K48" s="93">
        <f>VLOOKUP(14,$A$4:$AZ$32,11,FALSE)</f>
        <v>21434.925</v>
      </c>
      <c r="L48" s="93">
        <f>VLOOKUP(14,$A$4:$AZ$32,12,FALSE)</f>
        <v>21458.61</v>
      </c>
      <c r="M48" s="93">
        <f>VLOOKUP(14,$A$4:$AZ$32,13,FALSE)</f>
        <v>21290.4465</v>
      </c>
      <c r="N48" s="93">
        <f>VLOOKUP(14,$A$4:$AZ$32,14,FALSE)</f>
        <v>21337.8165</v>
      </c>
      <c r="O48" s="93">
        <f>VLOOKUP(14,$A$4:$AZ$32,15,FALSE)</f>
        <v>20776.482</v>
      </c>
      <c r="P48" s="93">
        <f>VLOOKUP(14,$A$4:$AZ$32,16,FALSE)</f>
        <v>20845.1685</v>
      </c>
      <c r="Q48" s="93">
        <f>VLOOKUP(14,$A$4:$AZ$32,17,FALSE)</f>
        <v>20432.5995</v>
      </c>
      <c r="R48" s="93">
        <f>VLOOKUP(14,$A$4:$AZ$32,18,FALSE)</f>
        <v>20338.412</v>
      </c>
      <c r="S48" s="93">
        <f>VLOOKUP(14,$A$4:$AZ$32,19,FALSE)</f>
        <v>20785.248</v>
      </c>
      <c r="T48" s="93">
        <f>VLOOKUP(14,$A$4:$AZ$32,20,FALSE)</f>
        <v>20820.86</v>
      </c>
      <c r="U48" s="93">
        <f>VLOOKUP(14,$A$4:$AZ$32,21,FALSE)</f>
        <v>21021.79</v>
      </c>
      <c r="V48" s="93">
        <f>VLOOKUP(14,$A$4:$AZ$32,22,FALSE)</f>
        <v>21688.6875</v>
      </c>
      <c r="W48" s="93">
        <f>VLOOKUP(14,$A$4:$AZ$32,23,FALSE)</f>
        <v>22315.1115</v>
      </c>
      <c r="X48" s="93">
        <f>VLOOKUP(14,$A$4:$AZ$32,24,FALSE)</f>
        <v>23436.2475</v>
      </c>
    </row>
    <row r="49" spans="1:24" ht="12.75">
      <c r="A49">
        <v>15</v>
      </c>
      <c r="B49" s="78" t="s">
        <v>92</v>
      </c>
      <c r="C49" s="93">
        <f>VLOOKUP(15,$A$4:$AZ$32,3,FALSE)</f>
        <v>0</v>
      </c>
      <c r="D49" s="93">
        <f>VLOOKUP(15,$A$4:$AZ$32,4,FALSE)</f>
        <v>0</v>
      </c>
      <c r="E49" s="93">
        <f>VLOOKUP(15,$A$4:$AZ$32,5,FALSE)</f>
        <v>0</v>
      </c>
      <c r="F49" s="93">
        <f>VLOOKUP(15,$A$4:$AZ$32,6,FALSE)</f>
        <v>0</v>
      </c>
      <c r="G49" s="93">
        <f>VLOOKUP(15,$A$4:$AZ$32,7,FALSE)</f>
        <v>0</v>
      </c>
      <c r="H49" s="93">
        <f>VLOOKUP(15,$A$4:$AZ$32,8,FALSE)</f>
        <v>0</v>
      </c>
      <c r="I49" s="93">
        <f>VLOOKUP(15,$A$4:$AZ$32,9,FALSE)</f>
        <v>0</v>
      </c>
      <c r="J49" s="93">
        <f>VLOOKUP(15,$A$4:$AZ$32,10,FALSE)</f>
        <v>0</v>
      </c>
      <c r="K49" s="93">
        <f>VLOOKUP(15,$A$4:$AZ$32,11,FALSE)</f>
        <v>0</v>
      </c>
      <c r="L49" s="93">
        <f>VLOOKUP(15,$A$4:$AZ$32,12,FALSE)</f>
        <v>0</v>
      </c>
      <c r="M49" s="93">
        <f>VLOOKUP(15,$A$4:$AZ$32,13,FALSE)</f>
        <v>1052.946</v>
      </c>
      <c r="N49" s="93">
        <f>VLOOKUP(15,$A$4:$AZ$32,14,FALSE)</f>
        <v>3764.565</v>
      </c>
      <c r="O49" s="93">
        <f>VLOOKUP(15,$A$4:$AZ$32,15,FALSE)</f>
        <v>7351.752</v>
      </c>
      <c r="P49" s="93">
        <f>VLOOKUP(15,$A$4:$AZ$32,16,FALSE)</f>
        <v>12419.2905</v>
      </c>
      <c r="Q49" s="93">
        <f>VLOOKUP(15,$A$4:$AZ$32,17,FALSE)</f>
        <v>18585.063</v>
      </c>
      <c r="R49" s="93">
        <f>VLOOKUP(15,$A$4:$AZ$32,18,FALSE)</f>
        <v>25089.5118</v>
      </c>
      <c r="S49" s="93">
        <f>VLOOKUP(15,$A$4:$AZ$32,19,FALSE)</f>
        <v>32559.0808</v>
      </c>
      <c r="T49" s="93">
        <f>VLOOKUP(15,$A$4:$AZ$32,20,FALSE)</f>
        <v>40165.7505</v>
      </c>
      <c r="U49" s="93">
        <f>VLOOKUP(15,$A$4:$AZ$32,21,FALSE)</f>
        <v>49022.4017</v>
      </c>
      <c r="V49" s="93">
        <f>VLOOKUP(15,$A$4:$AZ$32,22,FALSE)</f>
        <v>58096.8809</v>
      </c>
      <c r="W49" s="93">
        <f>VLOOKUP(15,$A$4:$AZ$32,23,FALSE)</f>
        <v>66912.5245</v>
      </c>
      <c r="X49" s="93">
        <f>VLOOKUP(15,$A$4:$AZ$32,24,FALSE)</f>
        <v>78365.4233</v>
      </c>
    </row>
    <row r="50" spans="1:24" ht="12.75">
      <c r="A50">
        <v>16</v>
      </c>
      <c r="B50" s="78" t="s">
        <v>93</v>
      </c>
      <c r="C50" s="93">
        <f>VLOOKUP(16,$A$4:$AZ$32,3,FALSE)</f>
        <v>91364.58</v>
      </c>
      <c r="D50" s="93">
        <f>VLOOKUP(16,$A$4:$AZ$32,4,FALSE)</f>
        <v>97085.16</v>
      </c>
      <c r="E50" s="93">
        <f>VLOOKUP(16,$A$4:$AZ$32,5,FALSE)</f>
        <v>100626.21</v>
      </c>
      <c r="F50" s="93">
        <f>VLOOKUP(16,$A$4:$AZ$32,6,FALSE)</f>
        <v>103040.4375</v>
      </c>
      <c r="G50" s="93">
        <f>VLOOKUP(16,$A$4:$AZ$32,7,FALSE)</f>
        <v>105892.4925</v>
      </c>
      <c r="H50" s="93">
        <f>VLOOKUP(16,$A$4:$AZ$32,8,FALSE)</f>
        <v>109005.3225</v>
      </c>
      <c r="I50" s="93">
        <f>VLOOKUP(16,$A$4:$AZ$32,9,FALSE)</f>
        <v>111725.6175</v>
      </c>
      <c r="J50" s="93">
        <f>VLOOKUP(16,$A$4:$AZ$32,10,FALSE)</f>
        <v>116191.7325</v>
      </c>
      <c r="K50" s="93">
        <f>VLOOKUP(16,$A$4:$AZ$32,11,FALSE)</f>
        <v>120862.35</v>
      </c>
      <c r="L50" s="93">
        <f>VLOOKUP(16,$A$4:$AZ$32,12,FALSE)</f>
        <v>125796.4875</v>
      </c>
      <c r="M50" s="93">
        <f>VLOOKUP(16,$A$4:$AZ$32,13,FALSE)</f>
        <v>129717.72</v>
      </c>
      <c r="N50" s="93">
        <f>VLOOKUP(16,$A$4:$AZ$32,14,FALSE)</f>
        <v>134293.635</v>
      </c>
      <c r="O50" s="93">
        <f>VLOOKUP(16,$A$4:$AZ$32,15,FALSE)</f>
        <v>136867.0725</v>
      </c>
      <c r="P50" s="93">
        <f>VLOOKUP(16,$A$4:$AZ$32,16,FALSE)</f>
        <v>140214.6</v>
      </c>
      <c r="Q50" s="93">
        <f>VLOOKUP(16,$A$4:$AZ$32,17,FALSE)</f>
        <v>144363.6675</v>
      </c>
      <c r="R50" s="93">
        <f>VLOOKUP(16,$A$4:$AZ$32,18,FALSE)</f>
        <v>147514.9275</v>
      </c>
      <c r="S50" s="93">
        <f>VLOOKUP(16,$A$4:$AZ$32,19,FALSE)</f>
        <v>152141.625</v>
      </c>
      <c r="T50" s="93">
        <f>VLOOKUP(16,$A$4:$AZ$32,20,FALSE)</f>
        <v>154608.0075</v>
      </c>
      <c r="U50" s="93">
        <f>VLOOKUP(16,$A$4:$AZ$32,21,FALSE)</f>
        <v>160052.715</v>
      </c>
      <c r="V50" s="93">
        <f>VLOOKUP(16,$A$4:$AZ$32,22,FALSE)</f>
        <v>163065.3525</v>
      </c>
      <c r="W50" s="93">
        <f>VLOOKUP(16,$A$4:$AZ$32,23,FALSE)</f>
        <v>164824.8975</v>
      </c>
      <c r="X50" s="93">
        <f>VLOOKUP(16,$A$4:$AZ$32,24,FALSE)</f>
        <v>168898.4775</v>
      </c>
    </row>
    <row r="51" spans="1:24" ht="12.75">
      <c r="A51">
        <v>17</v>
      </c>
      <c r="B51" s="78" t="s">
        <v>94</v>
      </c>
      <c r="C51" s="93">
        <f>VLOOKUP(17,$A$4:$AZ$32,3,FALSE)</f>
        <v>11059.455</v>
      </c>
      <c r="D51" s="93">
        <f>VLOOKUP(17,$A$4:$AZ$32,4,FALSE)</f>
        <v>12077.298</v>
      </c>
      <c r="E51" s="93">
        <f>VLOOKUP(17,$A$4:$AZ$32,5,FALSE)</f>
        <v>12968.688</v>
      </c>
      <c r="F51" s="93">
        <f>VLOOKUP(17,$A$4:$AZ$32,6,FALSE)</f>
        <v>14119.203</v>
      </c>
      <c r="G51" s="93">
        <f>VLOOKUP(17,$A$4:$AZ$32,7,FALSE)</f>
        <v>14888.286</v>
      </c>
      <c r="H51" s="93">
        <f>VLOOKUP(17,$A$4:$AZ$32,8,FALSE)</f>
        <v>15425.193</v>
      </c>
      <c r="I51" s="93">
        <f>VLOOKUP(17,$A$4:$AZ$32,9,FALSE)</f>
        <v>16190.13</v>
      </c>
      <c r="J51" s="93">
        <f>VLOOKUP(17,$A$4:$AZ$32,10,FALSE)</f>
        <v>17067.009</v>
      </c>
      <c r="K51" s="93">
        <f>VLOOKUP(17,$A$4:$AZ$32,11,FALSE)</f>
        <v>17773.902</v>
      </c>
      <c r="L51" s="93">
        <f>VLOOKUP(17,$A$4:$AZ$32,12,FALSE)</f>
        <v>18555.423</v>
      </c>
      <c r="M51" s="93">
        <f>VLOOKUP(17,$A$4:$AZ$32,13,FALSE)</f>
        <v>19498.638</v>
      </c>
      <c r="N51" s="93">
        <f>VLOOKUP(17,$A$4:$AZ$32,14,FALSE)</f>
        <v>19838.61</v>
      </c>
      <c r="O51" s="93">
        <f>VLOOKUP(17,$A$4:$AZ$32,15,FALSE)</f>
        <v>20499.897</v>
      </c>
      <c r="P51" s="93">
        <f>VLOOKUP(17,$A$4:$AZ$32,16,FALSE)</f>
        <v>20949.738</v>
      </c>
      <c r="Q51" s="93">
        <f>VLOOKUP(17,$A$4:$AZ$32,17,FALSE)</f>
        <v>21762.354</v>
      </c>
      <c r="R51" s="93">
        <f>VLOOKUP(17,$A$4:$AZ$32,18,FALSE)</f>
        <v>21975.873</v>
      </c>
      <c r="S51" s="93">
        <f>VLOOKUP(17,$A$4:$AZ$32,19,FALSE)</f>
        <v>22858.971</v>
      </c>
      <c r="T51" s="93">
        <f>VLOOKUP(17,$A$4:$AZ$32,20,FALSE)</f>
        <v>23727.558</v>
      </c>
      <c r="U51" s="93">
        <f>VLOOKUP(17,$A$4:$AZ$32,21,FALSE)</f>
        <v>24631.386</v>
      </c>
      <c r="V51" s="93">
        <f>VLOOKUP(17,$A$4:$AZ$32,22,FALSE)</f>
        <v>25489.608</v>
      </c>
      <c r="W51" s="93">
        <f>VLOOKUP(17,$A$4:$AZ$32,23,FALSE)</f>
        <v>26447.334</v>
      </c>
      <c r="X51" s="93">
        <f>VLOOKUP(17,$A$4:$AZ$32,24,FALSE)</f>
        <v>27471.396</v>
      </c>
    </row>
    <row r="52" spans="1:24" ht="12.75">
      <c r="A52">
        <v>18</v>
      </c>
      <c r="B52" s="78" t="s">
        <v>95</v>
      </c>
      <c r="C52" s="93">
        <f>VLOOKUP(18,$A$4:$AZ$32,3,FALSE)</f>
        <v>14730.6705</v>
      </c>
      <c r="D52" s="93">
        <f>VLOOKUP(18,$A$4:$AZ$32,4,FALSE)</f>
        <v>23427.8785</v>
      </c>
      <c r="E52" s="93">
        <f>VLOOKUP(18,$A$4:$AZ$32,5,FALSE)</f>
        <v>32373.1915</v>
      </c>
      <c r="F52" s="93">
        <f>VLOOKUP(18,$A$4:$AZ$32,6,FALSE)</f>
        <v>41981.6215</v>
      </c>
      <c r="G52" s="93">
        <f>VLOOKUP(18,$A$4:$AZ$32,7,FALSE)</f>
        <v>52217.0805</v>
      </c>
      <c r="H52" s="93">
        <f>VLOOKUP(18,$A$4:$AZ$32,8,FALSE)</f>
        <v>63334.44</v>
      </c>
      <c r="I52" s="93">
        <f>VLOOKUP(18,$A$4:$AZ$32,9,FALSE)</f>
        <v>75123.9385</v>
      </c>
      <c r="J52" s="93">
        <f>VLOOKUP(18,$A$4:$AZ$32,10,FALSE)</f>
        <v>87689.329</v>
      </c>
      <c r="K52" s="93">
        <f>VLOOKUP(18,$A$4:$AZ$32,11,FALSE)</f>
        <v>101285.483</v>
      </c>
      <c r="L52" s="93">
        <f>VLOOKUP(18,$A$4:$AZ$32,12,FALSE)</f>
        <v>114453.092</v>
      </c>
      <c r="M52" s="93">
        <f>VLOOKUP(18,$A$4:$AZ$32,13,FALSE)</f>
        <v>126089.2165</v>
      </c>
      <c r="N52" s="93">
        <f>VLOOKUP(18,$A$4:$AZ$32,14,FALSE)</f>
        <v>136633.679</v>
      </c>
      <c r="O52" s="93">
        <f>VLOOKUP(18,$A$4:$AZ$32,15,FALSE)</f>
        <v>145080.5265</v>
      </c>
      <c r="P52" s="93">
        <f>VLOOKUP(18,$A$4:$AZ$32,16,FALSE)</f>
        <v>152649.9845</v>
      </c>
      <c r="Q52" s="93">
        <f>VLOOKUP(18,$A$4:$AZ$32,17,FALSE)</f>
        <v>160995.3345</v>
      </c>
      <c r="R52" s="93">
        <f>VLOOKUP(18,$A$4:$AZ$32,18,FALSE)</f>
        <v>167358.1</v>
      </c>
      <c r="S52" s="93">
        <f>VLOOKUP(18,$A$4:$AZ$32,19,FALSE)</f>
        <v>174830.5715</v>
      </c>
      <c r="T52" s="93">
        <f>VLOOKUP(18,$A$4:$AZ$32,20,FALSE)</f>
        <v>179666.3635</v>
      </c>
      <c r="U52" s="93">
        <f>VLOOKUP(18,$A$4:$AZ$32,21,FALSE)</f>
        <v>185562.2405</v>
      </c>
      <c r="V52" s="93">
        <f>VLOOKUP(18,$A$4:$AZ$32,22,FALSE)</f>
        <v>189556.731</v>
      </c>
      <c r="W52" s="93">
        <f>VLOOKUP(18,$A$4:$AZ$32,23,FALSE)</f>
        <v>191735.544</v>
      </c>
      <c r="X52" s="93">
        <f>VLOOKUP(18,$A$4:$AZ$32,24,FALSE)</f>
        <v>195849.576</v>
      </c>
    </row>
    <row r="53" spans="1:24" ht="12.75">
      <c r="A53">
        <v>19</v>
      </c>
      <c r="B53" s="78" t="s">
        <v>96</v>
      </c>
      <c r="C53" s="93">
        <f>VLOOKUP(19,$A$4:$AZ$32,3,FALSE)</f>
        <v>0</v>
      </c>
      <c r="D53" s="93">
        <f>VLOOKUP(19,$A$4:$AZ$32,4,FALSE)</f>
        <v>0</v>
      </c>
      <c r="E53" s="93">
        <f>VLOOKUP(19,$A$4:$AZ$32,5,FALSE)</f>
        <v>0</v>
      </c>
      <c r="F53" s="93">
        <f>VLOOKUP(19,$A$4:$AZ$32,6,FALSE)</f>
        <v>0</v>
      </c>
      <c r="G53" s="93">
        <f>VLOOKUP(19,$A$4:$AZ$32,7,FALSE)</f>
        <v>0</v>
      </c>
      <c r="H53" s="93">
        <f>VLOOKUP(19,$A$4:$AZ$32,8,FALSE)</f>
        <v>0</v>
      </c>
      <c r="I53" s="93">
        <f>VLOOKUP(19,$A$4:$AZ$32,9,FALSE)</f>
        <v>0</v>
      </c>
      <c r="J53" s="93">
        <f>VLOOKUP(19,$A$4:$AZ$32,10,FALSE)</f>
        <v>0</v>
      </c>
      <c r="K53" s="93">
        <f>VLOOKUP(19,$A$4:$AZ$32,11,FALSE)</f>
        <v>0</v>
      </c>
      <c r="L53" s="93">
        <f>VLOOKUP(19,$A$4:$AZ$32,12,FALSE)</f>
        <v>379.625</v>
      </c>
      <c r="M53" s="93">
        <f>VLOOKUP(19,$A$4:$AZ$32,13,FALSE)</f>
        <v>2007.457</v>
      </c>
      <c r="N53" s="93">
        <f>VLOOKUP(19,$A$4:$AZ$32,14,FALSE)</f>
        <v>5779.411</v>
      </c>
      <c r="O53" s="93">
        <f>VLOOKUP(19,$A$4:$AZ$32,15,FALSE)</f>
        <v>10180.024</v>
      </c>
      <c r="P53" s="93">
        <f>VLOOKUP(19,$A$4:$AZ$32,16,FALSE)</f>
        <v>17781.635</v>
      </c>
      <c r="Q53" s="93">
        <f>VLOOKUP(19,$A$4:$AZ$32,17,FALSE)</f>
        <v>25735.538</v>
      </c>
      <c r="R53" s="93">
        <f>VLOOKUP(19,$A$4:$AZ$32,18,FALSE)</f>
        <v>33403.963</v>
      </c>
      <c r="S53" s="93">
        <f>VLOOKUP(19,$A$4:$AZ$32,19,FALSE)</f>
        <v>42390.446</v>
      </c>
      <c r="T53" s="93">
        <f>VLOOKUP(19,$A$4:$AZ$32,20,FALSE)</f>
        <v>52303.214</v>
      </c>
      <c r="U53" s="93">
        <f>VLOOKUP(19,$A$4:$AZ$32,21,FALSE)</f>
        <v>62504.497</v>
      </c>
      <c r="V53" s="93">
        <f>VLOOKUP(19,$A$4:$AZ$32,22,FALSE)</f>
        <v>72086.232</v>
      </c>
      <c r="W53" s="93">
        <f>VLOOKUP(19,$A$4:$AZ$32,23,FALSE)</f>
        <v>82415.069</v>
      </c>
      <c r="X53" s="93">
        <f>VLOOKUP(19,$A$4:$AZ$32,24,FALSE)</f>
        <v>94939.657</v>
      </c>
    </row>
    <row r="54" spans="1:24" ht="12.75">
      <c r="A54">
        <v>20</v>
      </c>
      <c r="B54" s="78" t="s">
        <v>97</v>
      </c>
      <c r="C54" s="93">
        <f>VLOOKUP(20,$A$4:$AZ$32,3,FALSE)</f>
        <v>0</v>
      </c>
      <c r="D54" s="93">
        <f>VLOOKUP(20,$A$4:$AZ$32,4,FALSE)</f>
        <v>0</v>
      </c>
      <c r="E54" s="93">
        <f>VLOOKUP(20,$A$4:$AZ$32,5,FALSE)</f>
        <v>0</v>
      </c>
      <c r="F54" s="93">
        <f>VLOOKUP(20,$A$4:$AZ$32,6,FALSE)</f>
        <v>0</v>
      </c>
      <c r="G54" s="93">
        <f>VLOOKUP(20,$A$4:$AZ$32,7,FALSE)</f>
        <v>0</v>
      </c>
      <c r="H54" s="93">
        <f>VLOOKUP(20,$A$4:$AZ$32,8,FALSE)</f>
        <v>0</v>
      </c>
      <c r="I54" s="93">
        <f>VLOOKUP(20,$A$4:$AZ$32,9,FALSE)</f>
        <v>0</v>
      </c>
      <c r="J54" s="93">
        <f>VLOOKUP(20,$A$4:$AZ$32,10,FALSE)</f>
        <v>0</v>
      </c>
      <c r="K54" s="93">
        <f>VLOOKUP(20,$A$4:$AZ$32,11,FALSE)</f>
        <v>0</v>
      </c>
      <c r="L54" s="93">
        <f>VLOOKUP(20,$A$4:$AZ$32,12,FALSE)</f>
        <v>0</v>
      </c>
      <c r="M54" s="93">
        <f>VLOOKUP(20,$A$4:$AZ$32,13,FALSE)</f>
        <v>610.944</v>
      </c>
      <c r="N54" s="93">
        <f>VLOOKUP(20,$A$4:$AZ$32,14,FALSE)</f>
        <v>2585.856</v>
      </c>
      <c r="O54" s="93">
        <f>VLOOKUP(20,$A$4:$AZ$32,15,FALSE)</f>
        <v>4468.416</v>
      </c>
      <c r="P54" s="93">
        <f>VLOOKUP(20,$A$4:$AZ$32,16,FALSE)</f>
        <v>8020.416</v>
      </c>
      <c r="Q54" s="93">
        <f>VLOOKUP(20,$A$4:$AZ$32,17,FALSE)</f>
        <v>11611.488</v>
      </c>
      <c r="R54" s="93">
        <f>VLOOKUP(20,$A$4:$AZ$32,18,FALSE)</f>
        <v>15302.016</v>
      </c>
      <c r="S54" s="93">
        <f>VLOOKUP(20,$A$4:$AZ$32,19,FALSE)</f>
        <v>19575.072</v>
      </c>
      <c r="T54" s="93">
        <f>VLOOKUP(20,$A$4:$AZ$32,20,FALSE)</f>
        <v>23642.112</v>
      </c>
      <c r="U54" s="93">
        <f>VLOOKUP(20,$A$4:$AZ$32,21,FALSE)</f>
        <v>28202.88</v>
      </c>
      <c r="V54" s="93">
        <f>VLOOKUP(20,$A$4:$AZ$32,22,FALSE)</f>
        <v>33797.28</v>
      </c>
      <c r="W54" s="93">
        <f>VLOOKUP(20,$A$4:$AZ$32,23,FALSE)</f>
        <v>39650.976</v>
      </c>
      <c r="X54" s="93">
        <f>VLOOKUP(20,$A$4:$AZ$32,24,FALSE)</f>
        <v>45781.728</v>
      </c>
    </row>
    <row r="55" spans="1:24" ht="12.75">
      <c r="A55">
        <v>21</v>
      </c>
      <c r="B55" s="78" t="s">
        <v>98</v>
      </c>
      <c r="C55" s="93">
        <f>VLOOKUP(21,$A$4:$AZ$32,3,FALSE)</f>
        <v>3507.168</v>
      </c>
      <c r="D55" s="93">
        <f>VLOOKUP(21,$A$4:$AZ$32,4,FALSE)</f>
        <v>3384.982</v>
      </c>
      <c r="E55" s="93">
        <f>VLOOKUP(21,$A$4:$AZ$32,5,FALSE)</f>
        <v>3376.386</v>
      </c>
      <c r="F55" s="93">
        <f>VLOOKUP(21,$A$4:$AZ$32,6,FALSE)</f>
        <v>3335.862</v>
      </c>
      <c r="G55" s="93">
        <f>VLOOKUP(21,$A$4:$AZ$32,7,FALSE)</f>
        <v>3376.386</v>
      </c>
      <c r="H55" s="93">
        <f>VLOOKUP(21,$A$4:$AZ$32,8,FALSE)</f>
        <v>3335.248</v>
      </c>
      <c r="I55" s="93">
        <f>VLOOKUP(21,$A$4:$AZ$32,9,FALSE)</f>
        <v>3419.366</v>
      </c>
      <c r="J55" s="93">
        <f>VLOOKUP(21,$A$4:$AZ$32,10,FALSE)</f>
        <v>3471.556</v>
      </c>
      <c r="K55" s="93">
        <f>VLOOKUP(21,$A$4:$AZ$32,11,FALSE)</f>
        <v>3492.432</v>
      </c>
      <c r="L55" s="93">
        <f>VLOOKUP(21,$A$4:$AZ$32,12,FALSE)</f>
        <v>3604.794</v>
      </c>
      <c r="M55" s="93">
        <f>VLOOKUP(21,$A$4:$AZ$32,13,FALSE)</f>
        <v>3600.496</v>
      </c>
      <c r="N55" s="93">
        <f>VLOOKUP(21,$A$4:$AZ$32,14,FALSE)</f>
        <v>3591.9</v>
      </c>
      <c r="O55" s="93">
        <f>VLOOKUP(21,$A$4:$AZ$32,15,FALSE)</f>
        <v>3591.9</v>
      </c>
      <c r="P55" s="93">
        <f>VLOOKUP(21,$A$4:$AZ$32,16,FALSE)</f>
        <v>3612.776</v>
      </c>
      <c r="Q55" s="93">
        <f>VLOOKUP(21,$A$4:$AZ$32,17,FALSE)</f>
        <v>3697.508</v>
      </c>
      <c r="R55" s="93">
        <f>VLOOKUP(21,$A$4:$AZ$32,18,FALSE)</f>
        <v>3677.86</v>
      </c>
      <c r="S55" s="93">
        <f>VLOOKUP(21,$A$4:$AZ$32,19,FALSE)</f>
        <v>3673.562</v>
      </c>
      <c r="T55" s="93">
        <f>VLOOKUP(21,$A$4:$AZ$32,20,FALSE)</f>
        <v>3709.788</v>
      </c>
      <c r="U55" s="93">
        <f>VLOOKUP(21,$A$4:$AZ$32,21,FALSE)</f>
        <v>3710.402</v>
      </c>
      <c r="V55" s="93">
        <f>VLOOKUP(21,$A$4:$AZ$32,22,FALSE)</f>
        <v>3758.294</v>
      </c>
      <c r="W55" s="93">
        <f>VLOOKUP(21,$A$4:$AZ$32,23,FALSE)</f>
        <v>3741.716</v>
      </c>
      <c r="X55" s="93">
        <f>VLOOKUP(21,$A$4:$AZ$32,24,FALSE)</f>
        <v>3765.662</v>
      </c>
    </row>
    <row r="56" spans="1:24" ht="25.5">
      <c r="A56">
        <v>22</v>
      </c>
      <c r="B56" s="78" t="s">
        <v>99</v>
      </c>
      <c r="C56" s="93">
        <f>VLOOKUP(22,$A$4:$AZ$32,3,FALSE)</f>
        <v>15855.6235</v>
      </c>
      <c r="D56" s="93">
        <f>VLOOKUP(22,$A$4:$AZ$32,4,FALSE)</f>
        <v>16113.424</v>
      </c>
      <c r="E56" s="93">
        <f>VLOOKUP(22,$A$4:$AZ$32,5,FALSE)</f>
        <v>15916.967</v>
      </c>
      <c r="F56" s="93">
        <f>VLOOKUP(22,$A$4:$AZ$32,6,FALSE)</f>
        <v>15628.147</v>
      </c>
      <c r="G56" s="93">
        <f>VLOOKUP(22,$A$4:$AZ$32,7,FALSE)</f>
        <v>15698.5055</v>
      </c>
      <c r="H56" s="93">
        <f>VLOOKUP(22,$A$4:$AZ$32,8,FALSE)</f>
        <v>15592.656</v>
      </c>
      <c r="I56" s="93">
        <f>VLOOKUP(22,$A$4:$AZ$32,9,FALSE)</f>
        <v>15811.1285</v>
      </c>
      <c r="J56" s="93">
        <f>VLOOKUP(22,$A$4:$AZ$32,10,FALSE)</f>
        <v>15851.9875</v>
      </c>
      <c r="K56" s="93">
        <f>VLOOKUP(22,$A$4:$AZ$32,11,FALSE)</f>
        <v>15794.447</v>
      </c>
      <c r="L56" s="93">
        <f>VLOOKUP(22,$A$4:$AZ$32,12,FALSE)</f>
        <v>15774.736</v>
      </c>
      <c r="M56" s="93">
        <f>VLOOKUP(22,$A$4:$AZ$32,13,FALSE)</f>
        <v>15655.582</v>
      </c>
      <c r="N56" s="93">
        <f>VLOOKUP(22,$A$4:$AZ$32,14,FALSE)</f>
        <v>15596.8595</v>
      </c>
      <c r="O56" s="93">
        <f>VLOOKUP(22,$A$4:$AZ$32,15,FALSE)</f>
        <v>15358.1645</v>
      </c>
      <c r="P56" s="93">
        <f>VLOOKUP(22,$A$4:$AZ$32,16,FALSE)</f>
        <v>15278.8</v>
      </c>
      <c r="Q56" s="93">
        <f>VLOOKUP(22,$A$4:$AZ$32,17,FALSE)</f>
        <v>15211.005</v>
      </c>
      <c r="R56" s="93">
        <f>VLOOKUP(22,$A$4:$AZ$32,18,FALSE)</f>
        <v>15171.6455</v>
      </c>
      <c r="S56" s="93">
        <f>VLOOKUP(22,$A$4:$AZ$32,19,FALSE)</f>
        <v>15035.6245</v>
      </c>
      <c r="T56" s="93">
        <f>VLOOKUP(22,$A$4:$AZ$32,20,FALSE)</f>
        <v>14859.68</v>
      </c>
      <c r="U56" s="93">
        <f>VLOOKUP(22,$A$4:$AZ$32,21,FALSE)</f>
        <v>14764.835</v>
      </c>
      <c r="V56" s="93">
        <f>VLOOKUP(22,$A$4:$AZ$32,22,FALSE)</f>
        <v>14432.0165</v>
      </c>
      <c r="W56" s="93">
        <f>VLOOKUP(22,$A$4:$AZ$32,23,FALSE)</f>
        <v>13823.131</v>
      </c>
      <c r="X56" s="93">
        <f>VLOOKUP(22,$A$4:$AZ$32,24,FALSE)</f>
        <v>13376.471</v>
      </c>
    </row>
    <row r="57" spans="1:24" ht="25.5">
      <c r="A57">
        <v>23</v>
      </c>
      <c r="B57" s="78" t="s">
        <v>100</v>
      </c>
      <c r="C57" s="93">
        <f>VLOOKUP(23,$A$4:$AZ$32,3,FALSE)</f>
        <v>1715.547</v>
      </c>
      <c r="D57" s="93">
        <f>VLOOKUP(23,$A$4:$AZ$32,4,FALSE)</f>
        <v>1762.651</v>
      </c>
      <c r="E57" s="93">
        <f>VLOOKUP(23,$A$4:$AZ$32,5,FALSE)</f>
        <v>1763.594</v>
      </c>
      <c r="F57" s="93">
        <f>VLOOKUP(23,$A$4:$AZ$32,6,FALSE)</f>
        <v>1736.937</v>
      </c>
      <c r="G57" s="93">
        <f>VLOOKUP(23,$A$4:$AZ$32,7,FALSE)</f>
        <v>1737.788</v>
      </c>
      <c r="H57" s="93">
        <f>VLOOKUP(23,$A$4:$AZ$32,8,FALSE)</f>
        <v>1761.938</v>
      </c>
      <c r="I57" s="93">
        <f>VLOOKUP(23,$A$4:$AZ$32,9,FALSE)</f>
        <v>1770.5975</v>
      </c>
      <c r="J57" s="93">
        <f>VLOOKUP(23,$A$4:$AZ$32,10,FALSE)</f>
        <v>1771.7475</v>
      </c>
      <c r="K57" s="93">
        <f>VLOOKUP(23,$A$4:$AZ$32,11,FALSE)</f>
        <v>1805.6495</v>
      </c>
      <c r="L57" s="93">
        <f>VLOOKUP(23,$A$4:$AZ$32,12,FALSE)</f>
        <v>1841.9895</v>
      </c>
      <c r="M57" s="93">
        <f>VLOOKUP(23,$A$4:$AZ$32,13,FALSE)</f>
        <v>1850.9825</v>
      </c>
      <c r="N57" s="93">
        <f>VLOOKUP(23,$A$4:$AZ$32,14,FALSE)</f>
        <v>1843.1855</v>
      </c>
      <c r="O57" s="93">
        <f>VLOOKUP(23,$A$4:$AZ$32,15,FALSE)</f>
        <v>1847.5325</v>
      </c>
      <c r="P57" s="93">
        <f>VLOOKUP(23,$A$4:$AZ$32,16,FALSE)</f>
        <v>1836.0785</v>
      </c>
      <c r="Q57" s="93">
        <f>VLOOKUP(23,$A$4:$AZ$32,17,FALSE)</f>
        <v>1824.774</v>
      </c>
      <c r="R57" s="93">
        <f>VLOOKUP(23,$A$4:$AZ$32,18,FALSE)</f>
        <v>1863.828</v>
      </c>
      <c r="S57" s="93">
        <f>VLOOKUP(23,$A$4:$AZ$32,19,FALSE)</f>
        <v>1888.3575</v>
      </c>
      <c r="T57" s="93">
        <f>VLOOKUP(23,$A$4:$AZ$32,20,FALSE)</f>
        <v>1867.301</v>
      </c>
      <c r="U57" s="93">
        <f>VLOOKUP(23,$A$4:$AZ$32,21,FALSE)</f>
        <v>1890.37</v>
      </c>
      <c r="V57" s="93">
        <f>VLOOKUP(23,$A$4:$AZ$32,22,FALSE)</f>
        <v>1871.05</v>
      </c>
      <c r="W57" s="93">
        <f>VLOOKUP(23,$A$4:$AZ$32,23,FALSE)</f>
        <v>1869.7275</v>
      </c>
      <c r="X57" s="93">
        <f>VLOOKUP(23,$A$4:$AZ$32,24,FALSE)</f>
        <v>1848.74</v>
      </c>
    </row>
    <row r="58" spans="1:24" ht="25.5">
      <c r="A58">
        <v>24</v>
      </c>
      <c r="B58" s="78" t="s">
        <v>101</v>
      </c>
      <c r="C58" s="93">
        <f>VLOOKUP(24,$A$4:$AZ$32,3,FALSE)</f>
        <v>1849.799</v>
      </c>
      <c r="D58" s="93">
        <f>VLOOKUP(24,$A$4:$AZ$32,4,FALSE)</f>
        <v>1827.504</v>
      </c>
      <c r="E58" s="93">
        <f>VLOOKUP(24,$A$4:$AZ$32,5,FALSE)</f>
        <v>1744.841</v>
      </c>
      <c r="F58" s="93">
        <f>VLOOKUP(24,$A$4:$AZ$32,6,FALSE)</f>
        <v>1695.449</v>
      </c>
      <c r="G58" s="93">
        <f>VLOOKUP(24,$A$4:$AZ$32,7,FALSE)</f>
        <v>1673.154</v>
      </c>
      <c r="H58" s="93">
        <f>VLOOKUP(24,$A$4:$AZ$32,8,FALSE)</f>
        <v>1633.023</v>
      </c>
      <c r="I58" s="93">
        <f>VLOOKUP(24,$A$4:$AZ$32,9,FALSE)</f>
        <v>1648.801</v>
      </c>
      <c r="J58" s="93">
        <f>VLOOKUP(24,$A$4:$AZ$32,10,FALSE)</f>
        <v>1653.603</v>
      </c>
      <c r="K58" s="93">
        <f>VLOOKUP(24,$A$4:$AZ$32,11,FALSE)</f>
        <v>1689.961</v>
      </c>
      <c r="L58" s="93">
        <f>VLOOKUP(24,$A$4:$AZ$32,12,FALSE)</f>
        <v>1669.381</v>
      </c>
      <c r="M58" s="93">
        <f>VLOOKUP(24,$A$4:$AZ$32,13,FALSE)</f>
        <v>1683.101</v>
      </c>
      <c r="N58" s="93">
        <f>VLOOKUP(24,$A$4:$AZ$32,14,FALSE)</f>
        <v>1660.463</v>
      </c>
      <c r="O58" s="93">
        <f>VLOOKUP(24,$A$4:$AZ$32,15,FALSE)</f>
        <v>1594.95</v>
      </c>
      <c r="P58" s="93">
        <f>VLOOKUP(24,$A$4:$AZ$32,16,FALSE)</f>
        <v>1593.235</v>
      </c>
      <c r="Q58" s="93">
        <f>VLOOKUP(24,$A$4:$AZ$32,17,FALSE)</f>
        <v>1591.177</v>
      </c>
      <c r="R58" s="93">
        <f>VLOOKUP(24,$A$4:$AZ$32,18,FALSE)</f>
        <v>1607.298</v>
      </c>
      <c r="S58" s="93">
        <f>VLOOKUP(24,$A$4:$AZ$32,19,FALSE)</f>
        <v>1628.221</v>
      </c>
      <c r="T58" s="93">
        <f>VLOOKUP(24,$A$4:$AZ$32,20,FALSE)</f>
        <v>1626.163</v>
      </c>
      <c r="U58" s="93">
        <f>VLOOKUP(24,$A$4:$AZ$32,21,FALSE)</f>
        <v>1640.226</v>
      </c>
      <c r="V58" s="93">
        <f>VLOOKUP(24,$A$4:$AZ$32,22,FALSE)</f>
        <v>1660.463</v>
      </c>
      <c r="W58" s="93">
        <f>VLOOKUP(24,$A$4:$AZ$32,23,FALSE)</f>
        <v>1664.579</v>
      </c>
      <c r="X58" s="93">
        <f>VLOOKUP(24,$A$4:$AZ$32,24,FALSE)</f>
        <v>1662.521</v>
      </c>
    </row>
    <row r="59" spans="1:24" ht="25.5">
      <c r="A59">
        <v>25</v>
      </c>
      <c r="B59" s="78" t="s">
        <v>102</v>
      </c>
      <c r="C59" s="93">
        <f>VLOOKUP(25,$A$4:$AZ$32,3,FALSE)</f>
        <v>0</v>
      </c>
      <c r="D59" s="93">
        <f>VLOOKUP(25,$A$4:$AZ$32,4,FALSE)</f>
        <v>0</v>
      </c>
      <c r="E59" s="93">
        <f>VLOOKUP(25,$A$4:$AZ$32,5,FALSE)</f>
        <v>0</v>
      </c>
      <c r="F59" s="93">
        <f>VLOOKUP(25,$A$4:$AZ$32,6,FALSE)</f>
        <v>0</v>
      </c>
      <c r="G59" s="93">
        <f>VLOOKUP(25,$A$4:$AZ$32,7,FALSE)</f>
        <v>0</v>
      </c>
      <c r="H59" s="93">
        <f>VLOOKUP(25,$A$4:$AZ$32,8,FALSE)</f>
        <v>0</v>
      </c>
      <c r="I59" s="93">
        <f>VLOOKUP(25,$A$4:$AZ$32,9,FALSE)</f>
        <v>0</v>
      </c>
      <c r="J59" s="93">
        <f>VLOOKUP(25,$A$4:$AZ$32,10,FALSE)</f>
        <v>0</v>
      </c>
      <c r="K59" s="93">
        <f>VLOOKUP(25,$A$4:$AZ$32,11,FALSE)</f>
        <v>0</v>
      </c>
      <c r="L59" s="93">
        <f>VLOOKUP(25,$A$4:$AZ$32,12,FALSE)</f>
        <v>0</v>
      </c>
      <c r="M59" s="93">
        <f>VLOOKUP(25,$A$4:$AZ$32,13,FALSE)</f>
        <v>0</v>
      </c>
      <c r="N59" s="93">
        <f>VLOOKUP(25,$A$4:$AZ$32,14,FALSE)</f>
        <v>582.282</v>
      </c>
      <c r="O59" s="93">
        <f>VLOOKUP(25,$A$4:$AZ$32,15,FALSE)</f>
        <v>2056.923</v>
      </c>
      <c r="P59" s="93">
        <f>VLOOKUP(25,$A$4:$AZ$32,16,FALSE)</f>
        <v>4629.063</v>
      </c>
      <c r="Q59" s="93">
        <f>VLOOKUP(25,$A$4:$AZ$32,17,FALSE)</f>
        <v>8107.5322</v>
      </c>
      <c r="R59" s="93">
        <f>VLOOKUP(25,$A$4:$AZ$32,18,FALSE)</f>
        <v>11984.4464</v>
      </c>
      <c r="S59" s="93">
        <f>VLOOKUP(25,$A$4:$AZ$32,19,FALSE)</f>
        <v>16295.7051</v>
      </c>
      <c r="T59" s="93">
        <f>VLOOKUP(25,$A$4:$AZ$32,20,FALSE)</f>
        <v>20721.6006</v>
      </c>
      <c r="U59" s="93">
        <f>VLOOKUP(25,$A$4:$AZ$32,21,FALSE)</f>
        <v>25627.6026</v>
      </c>
      <c r="V59" s="93">
        <f>VLOOKUP(25,$A$4:$AZ$32,22,FALSE)</f>
        <v>30614.8716</v>
      </c>
      <c r="W59" s="93">
        <f>VLOOKUP(25,$A$4:$AZ$32,23,FALSE)</f>
        <v>35362.2846</v>
      </c>
      <c r="X59" s="93">
        <f>VLOOKUP(25,$A$4:$AZ$32,24,FALSE)</f>
        <v>40993.3776</v>
      </c>
    </row>
    <row r="60" spans="1:24" ht="25.5">
      <c r="A60">
        <v>26</v>
      </c>
      <c r="B60" s="78" t="s">
        <v>103</v>
      </c>
      <c r="C60" s="93">
        <f>VLOOKUP(26,$A$4:$AZ$32,3,FALSE)</f>
        <v>174715.1855</v>
      </c>
      <c r="D60" s="93">
        <f>VLOOKUP(26,$A$4:$AZ$32,4,FALSE)</f>
        <v>178578.6775</v>
      </c>
      <c r="E60" s="93">
        <f>VLOOKUP(26,$A$4:$AZ$32,5,FALSE)</f>
        <v>179509.2615</v>
      </c>
      <c r="F60" s="93">
        <f>VLOOKUP(26,$A$4:$AZ$32,6,FALSE)</f>
        <v>180264.7075</v>
      </c>
      <c r="G60" s="93">
        <f>VLOOKUP(26,$A$4:$AZ$32,7,FALSE)</f>
        <v>182968.8905</v>
      </c>
      <c r="H60" s="93">
        <f>VLOOKUP(26,$A$4:$AZ$32,8,FALSE)</f>
        <v>184870.5755</v>
      </c>
      <c r="I60" s="93">
        <f>VLOOKUP(26,$A$4:$AZ$32,9,FALSE)</f>
        <v>186572.2895</v>
      </c>
      <c r="J60" s="93">
        <f>VLOOKUP(26,$A$4:$AZ$32,10,FALSE)</f>
        <v>187732.9055</v>
      </c>
      <c r="K60" s="93">
        <f>VLOOKUP(26,$A$4:$AZ$32,11,FALSE)</f>
        <v>188737.9885</v>
      </c>
      <c r="L60" s="93">
        <f>VLOOKUP(26,$A$4:$AZ$32,12,FALSE)</f>
        <v>189367.309</v>
      </c>
      <c r="M60" s="93">
        <f>VLOOKUP(26,$A$4:$AZ$32,13,FALSE)</f>
        <v>189854.1665</v>
      </c>
      <c r="N60" s="93">
        <f>VLOOKUP(26,$A$4:$AZ$32,14,FALSE)</f>
        <v>189528.7235</v>
      </c>
      <c r="O60" s="93">
        <f>VLOOKUP(26,$A$4:$AZ$32,15,FALSE)</f>
        <v>186210.904</v>
      </c>
      <c r="P60" s="93">
        <f>VLOOKUP(26,$A$4:$AZ$32,16,FALSE)</f>
        <v>182205.6025</v>
      </c>
      <c r="Q60" s="93">
        <f>VLOOKUP(26,$A$4:$AZ$32,17,FALSE)</f>
        <v>177067.321</v>
      </c>
      <c r="R60" s="93">
        <f>VLOOKUP(26,$A$4:$AZ$32,18,FALSE)</f>
        <v>170753.3165</v>
      </c>
      <c r="S60" s="93">
        <f>VLOOKUP(26,$A$4:$AZ$32,19,FALSE)</f>
        <v>163517.308</v>
      </c>
      <c r="T60" s="93">
        <f>VLOOKUP(26,$A$4:$AZ$32,20,FALSE)</f>
        <v>155551.5765</v>
      </c>
      <c r="U60" s="93">
        <f>VLOOKUP(26,$A$4:$AZ$32,21,FALSE)</f>
        <v>147796.7125</v>
      </c>
      <c r="V60" s="93">
        <f>VLOOKUP(26,$A$4:$AZ$32,22,FALSE)</f>
        <v>138739.4235</v>
      </c>
      <c r="W60" s="93">
        <f>VLOOKUP(26,$A$4:$AZ$32,23,FALSE)</f>
        <v>128826.1165</v>
      </c>
      <c r="X60" s="93">
        <f>VLOOKUP(26,$A$4:$AZ$32,24,FALSE)</f>
        <v>120678.3255</v>
      </c>
    </row>
    <row r="61" spans="1:24" ht="25.5">
      <c r="A61">
        <v>27</v>
      </c>
      <c r="B61" s="78" t="s">
        <v>104</v>
      </c>
      <c r="C61" s="93">
        <f>VLOOKUP(27,$A$4:$AZ$32,3,FALSE)</f>
        <v>66905.3845</v>
      </c>
      <c r="D61" s="93">
        <f>VLOOKUP(27,$A$4:$AZ$32,4,FALSE)</f>
        <v>67482.1865</v>
      </c>
      <c r="E61" s="93">
        <f>VLOOKUP(27,$A$4:$AZ$32,5,FALSE)</f>
        <v>66588.5015</v>
      </c>
      <c r="F61" s="93">
        <f>VLOOKUP(27,$A$4:$AZ$32,6,FALSE)</f>
        <v>65920.4835</v>
      </c>
      <c r="G61" s="93">
        <f>VLOOKUP(27,$A$4:$AZ$32,7,FALSE)</f>
        <v>65661.374</v>
      </c>
      <c r="H61" s="93">
        <f>VLOOKUP(27,$A$4:$AZ$32,8,FALSE)</f>
        <v>65331.272</v>
      </c>
      <c r="I61" s="93">
        <f>VLOOKUP(27,$A$4:$AZ$32,9,FALSE)</f>
        <v>64721.276</v>
      </c>
      <c r="J61" s="93">
        <f>VLOOKUP(27,$A$4:$AZ$32,10,FALSE)</f>
        <v>64556.5125</v>
      </c>
      <c r="K61" s="93">
        <f>VLOOKUP(27,$A$4:$AZ$32,11,FALSE)</f>
        <v>64006.151</v>
      </c>
      <c r="L61" s="93">
        <f>VLOOKUP(27,$A$4:$AZ$32,12,FALSE)</f>
        <v>63745.249</v>
      </c>
      <c r="M61" s="93">
        <f>VLOOKUP(27,$A$4:$AZ$32,13,FALSE)</f>
        <v>63639.0805</v>
      </c>
      <c r="N61" s="93">
        <f>VLOOKUP(27,$A$4:$AZ$32,14,FALSE)</f>
        <v>63237.5875</v>
      </c>
      <c r="O61" s="93">
        <f>VLOOKUP(27,$A$4:$AZ$32,15,FALSE)</f>
        <v>62437.7375</v>
      </c>
      <c r="P61" s="93">
        <f>VLOOKUP(27,$A$4:$AZ$32,16,FALSE)</f>
        <v>61672.0505</v>
      </c>
      <c r="Q61" s="93">
        <f>VLOOKUP(27,$A$4:$AZ$32,17,FALSE)</f>
        <v>61256.7385</v>
      </c>
      <c r="R61" s="93">
        <f>VLOOKUP(27,$A$4:$AZ$32,18,FALSE)</f>
        <v>60537.7545</v>
      </c>
      <c r="S61" s="93">
        <f>VLOOKUP(27,$A$4:$AZ$32,19,FALSE)</f>
        <v>59743.3075</v>
      </c>
      <c r="T61" s="93">
        <f>VLOOKUP(27,$A$4:$AZ$32,20,FALSE)</f>
        <v>58655.3675</v>
      </c>
      <c r="U61" s="93">
        <f>VLOOKUP(27,$A$4:$AZ$32,21,FALSE)</f>
        <v>58325.8515</v>
      </c>
      <c r="V61" s="93">
        <f>VLOOKUP(27,$A$4:$AZ$32,22,FALSE)</f>
        <v>57140.1695</v>
      </c>
      <c r="W61" s="93">
        <f>VLOOKUP(27,$A$4:$AZ$32,23,FALSE)</f>
        <v>55945.569</v>
      </c>
      <c r="X61" s="93">
        <f>VLOOKUP(27,$A$4:$AZ$32,24,FALSE)</f>
        <v>55517.6985</v>
      </c>
    </row>
    <row r="62" spans="1:24" ht="25.5">
      <c r="A62">
        <v>28</v>
      </c>
      <c r="B62" s="78" t="s">
        <v>105</v>
      </c>
      <c r="C62" s="93">
        <f>VLOOKUP(28,$A$4:$AZ$32,3,FALSE)</f>
        <v>15849.95</v>
      </c>
      <c r="D62" s="93">
        <f>VLOOKUP(28,$A$4:$AZ$32,4,FALSE)</f>
        <v>15974.4325</v>
      </c>
      <c r="E62" s="93">
        <f>VLOOKUP(28,$A$4:$AZ$32,5,FALSE)</f>
        <v>15887.418</v>
      </c>
      <c r="F62" s="93">
        <f>VLOOKUP(28,$A$4:$AZ$32,6,FALSE)</f>
        <v>15806.566</v>
      </c>
      <c r="G62" s="93">
        <f>VLOOKUP(28,$A$4:$AZ$32,7,FALSE)</f>
        <v>15752.5825</v>
      </c>
      <c r="H62" s="93">
        <f>VLOOKUP(28,$A$4:$AZ$32,8,FALSE)</f>
        <v>15677.4</v>
      </c>
      <c r="I62" s="93">
        <f>VLOOKUP(28,$A$4:$AZ$32,9,FALSE)</f>
        <v>15554.3965</v>
      </c>
      <c r="J62" s="93">
        <f>VLOOKUP(28,$A$4:$AZ$32,10,FALSE)</f>
        <v>15483.651</v>
      </c>
      <c r="K62" s="93">
        <f>VLOOKUP(28,$A$4:$AZ$32,11,FALSE)</f>
        <v>15358.1825</v>
      </c>
      <c r="L62" s="93">
        <f>VLOOKUP(28,$A$4:$AZ$32,12,FALSE)</f>
        <v>15409.701</v>
      </c>
      <c r="M62" s="93">
        <f>VLOOKUP(28,$A$4:$AZ$32,13,FALSE)</f>
        <v>15279.7955</v>
      </c>
      <c r="N62" s="93">
        <f>VLOOKUP(28,$A$4:$AZ$32,14,FALSE)</f>
        <v>15184.1535</v>
      </c>
      <c r="O62" s="93">
        <f>VLOOKUP(28,$A$4:$AZ$32,15,FALSE)</f>
        <v>14929.7655</v>
      </c>
      <c r="P62" s="93">
        <f>VLOOKUP(28,$A$4:$AZ$32,16,FALSE)</f>
        <v>14829.44</v>
      </c>
      <c r="Q62" s="93">
        <f>VLOOKUP(28,$A$4:$AZ$32,17,FALSE)</f>
        <v>14746.616</v>
      </c>
      <c r="R62" s="93">
        <f>VLOOKUP(28,$A$4:$AZ$32,18,FALSE)</f>
        <v>14638.156</v>
      </c>
      <c r="S62" s="93">
        <f>VLOOKUP(28,$A$4:$AZ$32,19,FALSE)</f>
        <v>14576.531</v>
      </c>
      <c r="T62" s="93">
        <f>VLOOKUP(28,$A$4:$AZ$32,20,FALSE)</f>
        <v>14419.5105</v>
      </c>
      <c r="U62" s="93">
        <f>VLOOKUP(28,$A$4:$AZ$32,21,FALSE)</f>
        <v>14401.7625</v>
      </c>
      <c r="V62" s="93">
        <f>VLOOKUP(28,$A$4:$AZ$32,22,FALSE)</f>
        <v>14219.8455</v>
      </c>
      <c r="W62" s="93">
        <f>VLOOKUP(28,$A$4:$AZ$32,23,FALSE)</f>
        <v>14076.3825</v>
      </c>
      <c r="X62" s="93">
        <f>VLOOKUP(28,$A$4:$AZ$32,24,FALSE)</f>
        <v>13994.791</v>
      </c>
    </row>
    <row r="63" spans="1:24" ht="12.75">
      <c r="A63">
        <v>29</v>
      </c>
      <c r="B63" s="78" t="s">
        <v>108</v>
      </c>
      <c r="C63" s="93">
        <f>VLOOKUP(29,$A$4:$AZ$32,3,FALSE)</f>
        <v>0</v>
      </c>
      <c r="D63" s="93">
        <f>VLOOKUP(29,$A$4:$AZ$32,4,FALSE)</f>
        <v>0</v>
      </c>
      <c r="E63" s="93">
        <f>VLOOKUP(29,$A$4:$AZ$32,5,FALSE)</f>
        <v>0</v>
      </c>
      <c r="F63" s="93">
        <f>VLOOKUP(29,$A$4:$AZ$32,6,FALSE)</f>
        <v>0</v>
      </c>
      <c r="G63" s="93">
        <f>VLOOKUP(29,$A$4:$AZ$32,7,FALSE)</f>
        <v>0</v>
      </c>
      <c r="H63" s="93">
        <f>VLOOKUP(29,$A$4:$AZ$32,8,FALSE)</f>
        <v>0</v>
      </c>
      <c r="I63" s="93">
        <f>VLOOKUP(29,$A$4:$AZ$32,9,FALSE)</f>
        <v>0</v>
      </c>
      <c r="J63" s="93">
        <f>VLOOKUP(29,$A$4:$AZ$32,10,FALSE)</f>
        <v>0</v>
      </c>
      <c r="K63" s="93">
        <f>VLOOKUP(29,$A$4:$AZ$32,11,FALSE)</f>
        <v>0</v>
      </c>
      <c r="L63" s="93">
        <f>VLOOKUP(29,$A$4:$AZ$32,12,FALSE)</f>
        <v>0</v>
      </c>
      <c r="M63" s="93">
        <f>VLOOKUP(29,$A$4:$AZ$32,13,FALSE)</f>
        <v>0</v>
      </c>
      <c r="N63" s="93">
        <f>VLOOKUP(29,$A$4:$AZ$32,14,FALSE)</f>
        <v>0</v>
      </c>
      <c r="O63" s="93">
        <f>VLOOKUP(29,$A$4:$AZ$32,15,FALSE)</f>
        <v>0</v>
      </c>
      <c r="P63" s="93">
        <f>VLOOKUP(29,$A$4:$AZ$32,16,FALSE)</f>
        <v>0</v>
      </c>
      <c r="Q63" s="93">
        <f>VLOOKUP(29,$A$4:$AZ$32,17,FALSE)</f>
        <v>0</v>
      </c>
      <c r="R63" s="93">
        <f>VLOOKUP(29,$A$4:$AZ$32,18,FALSE)</f>
        <v>0</v>
      </c>
      <c r="S63" s="93">
        <f>VLOOKUP(29,$A$4:$AZ$32,19,FALSE)</f>
        <v>0</v>
      </c>
      <c r="T63" s="93">
        <f>VLOOKUP(29,$A$4:$AZ$32,20,FALSE)</f>
        <v>0</v>
      </c>
      <c r="U63" s="93">
        <f>VLOOKUP(29,$A$4:$AZ$32,21,FALSE)</f>
        <v>0</v>
      </c>
      <c r="V63" s="93">
        <f>VLOOKUP(29,$A$4:$AZ$32,22,FALSE)</f>
        <v>0</v>
      </c>
      <c r="W63" s="93">
        <f>VLOOKUP(29,$A$4:$AZ$32,23,FALSE)</f>
        <v>0</v>
      </c>
      <c r="X63" s="93">
        <f>VLOOKUP(29,$A$4:$AZ$32,24,FALSE)</f>
        <v>55.077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4" ht="13.5" thickBot="1">
      <c r="B65" s="9" t="s">
        <v>0</v>
      </c>
      <c r="C65" s="12">
        <v>38443</v>
      </c>
      <c r="D65" s="12">
        <v>38473</v>
      </c>
      <c r="E65" s="12">
        <v>38504</v>
      </c>
      <c r="F65" s="12">
        <v>38534</v>
      </c>
      <c r="G65" s="12">
        <v>38565</v>
      </c>
      <c r="H65" s="12">
        <v>38596</v>
      </c>
      <c r="I65" s="12">
        <v>38626</v>
      </c>
      <c r="J65" s="12">
        <v>38657</v>
      </c>
      <c r="K65" s="12">
        <v>38687</v>
      </c>
      <c r="L65" s="12">
        <v>38718</v>
      </c>
      <c r="M65" s="12">
        <v>38749</v>
      </c>
      <c r="N65" s="12">
        <v>38777</v>
      </c>
      <c r="O65" s="12">
        <v>38808</v>
      </c>
      <c r="P65" s="12">
        <v>38838</v>
      </c>
      <c r="Q65" s="12">
        <v>38869</v>
      </c>
      <c r="R65" s="12">
        <v>38899</v>
      </c>
      <c r="S65" s="12">
        <v>38930</v>
      </c>
      <c r="T65" s="12">
        <v>38961</v>
      </c>
      <c r="U65" s="12">
        <v>38991</v>
      </c>
      <c r="V65" s="12">
        <v>39022</v>
      </c>
      <c r="W65" s="12">
        <v>39052</v>
      </c>
      <c r="X65" s="12">
        <v>39083</v>
      </c>
    </row>
    <row r="66" spans="2:24" ht="13.5" thickTop="1">
      <c r="B66" s="99" t="s">
        <v>1</v>
      </c>
      <c r="C66" s="102">
        <f aca="true" t="shared" si="0" ref="C66:R66">IF(ISERROR(C35),0,C35)</f>
        <v>0</v>
      </c>
      <c r="D66" s="102">
        <f t="shared" si="0"/>
        <v>0</v>
      </c>
      <c r="E66" s="102">
        <f t="shared" si="0"/>
        <v>0</v>
      </c>
      <c r="F66" s="102">
        <f t="shared" si="0"/>
        <v>0</v>
      </c>
      <c r="G66" s="102">
        <f t="shared" si="0"/>
        <v>0</v>
      </c>
      <c r="H66" s="102">
        <f t="shared" si="0"/>
        <v>0</v>
      </c>
      <c r="I66" s="102">
        <f t="shared" si="0"/>
        <v>0</v>
      </c>
      <c r="J66" s="102">
        <f t="shared" si="0"/>
        <v>0</v>
      </c>
      <c r="K66" s="102">
        <f t="shared" si="0"/>
        <v>35.19</v>
      </c>
      <c r="L66" s="102">
        <f t="shared" si="0"/>
        <v>64.998</v>
      </c>
      <c r="M66" s="102">
        <f t="shared" si="0"/>
        <v>140.76</v>
      </c>
      <c r="N66" s="102">
        <f t="shared" si="0"/>
        <v>254.61</v>
      </c>
      <c r="O66" s="102">
        <f t="shared" si="0"/>
        <v>344.034</v>
      </c>
      <c r="P66" s="102">
        <f t="shared" si="0"/>
        <v>512.532</v>
      </c>
      <c r="Q66" s="102">
        <f t="shared" si="0"/>
        <v>691.38</v>
      </c>
      <c r="R66" s="102">
        <f t="shared" si="0"/>
        <v>892.17</v>
      </c>
      <c r="S66" s="102">
        <f aca="true" t="shared" si="1" ref="D66:X78">IF(ISERROR(S35),0,S35)</f>
        <v>1087.992</v>
      </c>
      <c r="T66" s="102">
        <f t="shared" si="1"/>
        <v>1307.826</v>
      </c>
      <c r="U66" s="102">
        <f t="shared" si="1"/>
        <v>1519.38</v>
      </c>
      <c r="V66" s="102">
        <f t="shared" si="1"/>
        <v>1810.836</v>
      </c>
      <c r="W66" s="102">
        <f t="shared" si="1"/>
        <v>1884.528</v>
      </c>
      <c r="X66" s="102">
        <f t="shared" si="1"/>
        <v>2157.354</v>
      </c>
    </row>
    <row r="67" spans="2:24" ht="12.75">
      <c r="B67" s="101" t="s">
        <v>2</v>
      </c>
      <c r="C67" s="102">
        <f aca="true" t="shared" si="2" ref="C67:C94">IF(ISERROR(C36),0,C36)</f>
        <v>319732.148</v>
      </c>
      <c r="D67" s="102">
        <f t="shared" si="1"/>
        <v>324005.7715</v>
      </c>
      <c r="E67" s="102">
        <f t="shared" si="1"/>
        <v>317700.35</v>
      </c>
      <c r="F67" s="102">
        <f t="shared" si="1"/>
        <v>313735.4715</v>
      </c>
      <c r="G67" s="102">
        <f t="shared" si="1"/>
        <v>310895.708</v>
      </c>
      <c r="H67" s="102">
        <f t="shared" si="1"/>
        <v>308860.589</v>
      </c>
      <c r="I67" s="102">
        <f t="shared" si="1"/>
        <v>306256.3475</v>
      </c>
      <c r="J67" s="102">
        <f t="shared" si="1"/>
        <v>303445.3465</v>
      </c>
      <c r="K67" s="102">
        <f t="shared" si="1"/>
        <v>300608.2735</v>
      </c>
      <c r="L67" s="102">
        <f t="shared" si="1"/>
        <v>298259.086</v>
      </c>
      <c r="M67" s="102">
        <f t="shared" si="1"/>
        <v>297183.429</v>
      </c>
      <c r="N67" s="102">
        <f t="shared" si="1"/>
        <v>293946.6135</v>
      </c>
      <c r="O67" s="102">
        <f t="shared" si="1"/>
        <v>289687.3925</v>
      </c>
      <c r="P67" s="102">
        <f t="shared" si="1"/>
        <v>287818.4895</v>
      </c>
      <c r="Q67" s="102">
        <f t="shared" si="1"/>
        <v>288848.7785</v>
      </c>
      <c r="R67" s="102">
        <f t="shared" si="1"/>
        <v>290377.9075</v>
      </c>
      <c r="S67" s="102">
        <f t="shared" si="1"/>
        <v>290366.5225</v>
      </c>
      <c r="T67" s="102">
        <f t="shared" si="1"/>
        <v>290269.8435</v>
      </c>
      <c r="U67" s="102">
        <f t="shared" si="1"/>
        <v>292564.8695</v>
      </c>
      <c r="V67" s="102">
        <f t="shared" si="1"/>
        <v>292687.7235</v>
      </c>
      <c r="W67" s="102">
        <f t="shared" si="1"/>
        <v>291392.1875</v>
      </c>
      <c r="X67" s="102">
        <f t="shared" si="1"/>
        <v>294830.059</v>
      </c>
    </row>
    <row r="68" spans="2:24" ht="12.75">
      <c r="B68" s="101" t="s">
        <v>3</v>
      </c>
      <c r="C68" s="102">
        <f t="shared" si="2"/>
        <v>102212.873</v>
      </c>
      <c r="D68" s="102">
        <f t="shared" si="1"/>
        <v>104775.7055</v>
      </c>
      <c r="E68" s="102">
        <f t="shared" si="1"/>
        <v>104881.53</v>
      </c>
      <c r="F68" s="102">
        <f t="shared" si="1"/>
        <v>105403.872</v>
      </c>
      <c r="G68" s="102">
        <f t="shared" si="1"/>
        <v>106355.536</v>
      </c>
      <c r="H68" s="102">
        <f t="shared" si="1"/>
        <v>106402.8605</v>
      </c>
      <c r="I68" s="102">
        <f t="shared" si="1"/>
        <v>107238.05</v>
      </c>
      <c r="J68" s="102">
        <f t="shared" si="1"/>
        <v>107882.6375</v>
      </c>
      <c r="K68" s="102">
        <f t="shared" si="1"/>
        <v>108266</v>
      </c>
      <c r="L68" s="102">
        <f t="shared" si="1"/>
        <v>108178.425</v>
      </c>
      <c r="M68" s="102">
        <f t="shared" si="1"/>
        <v>107859.9</v>
      </c>
      <c r="N68" s="102">
        <f t="shared" si="1"/>
        <v>107531.75</v>
      </c>
      <c r="O68" s="102">
        <f t="shared" si="1"/>
        <v>106226.175</v>
      </c>
      <c r="P68" s="102">
        <f t="shared" si="1"/>
        <v>106084.925</v>
      </c>
      <c r="Q68" s="102">
        <f t="shared" si="1"/>
        <v>105653.675</v>
      </c>
      <c r="R68" s="102">
        <f t="shared" si="1"/>
        <v>105615.475</v>
      </c>
      <c r="S68" s="102">
        <f t="shared" si="1"/>
        <v>105503.65</v>
      </c>
      <c r="T68" s="102">
        <f t="shared" si="1"/>
        <v>105144.0625</v>
      </c>
      <c r="U68" s="102">
        <f t="shared" si="1"/>
        <v>105927.825</v>
      </c>
      <c r="V68" s="102">
        <f t="shared" si="1"/>
        <v>105283.325</v>
      </c>
      <c r="W68" s="102">
        <f t="shared" si="1"/>
        <v>103574.5125</v>
      </c>
      <c r="X68" s="102">
        <f t="shared" si="1"/>
        <v>103170.05</v>
      </c>
    </row>
    <row r="69" spans="2:24" ht="12.75">
      <c r="B69" s="101" t="s">
        <v>75</v>
      </c>
      <c r="C69" s="102">
        <f t="shared" si="2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49.631</v>
      </c>
      <c r="U69" s="102">
        <f t="shared" si="1"/>
        <v>94.3545</v>
      </c>
      <c r="V69" s="102">
        <f t="shared" si="1"/>
        <v>231.3035</v>
      </c>
      <c r="W69" s="102">
        <f t="shared" si="1"/>
        <v>362.156</v>
      </c>
      <c r="X69" s="102">
        <f t="shared" si="1"/>
        <v>587.363</v>
      </c>
    </row>
    <row r="70" spans="2:24" ht="12.75">
      <c r="B70" s="101" t="s">
        <v>4</v>
      </c>
      <c r="C70" s="102">
        <f t="shared" si="2"/>
        <v>540681.1695</v>
      </c>
      <c r="D70" s="102">
        <f t="shared" si="1"/>
        <v>552326.8125</v>
      </c>
      <c r="E70" s="102">
        <f t="shared" si="1"/>
        <v>551682.948</v>
      </c>
      <c r="F70" s="102">
        <f t="shared" si="1"/>
        <v>553248.93</v>
      </c>
      <c r="G70" s="102">
        <f t="shared" si="1"/>
        <v>556981.6185</v>
      </c>
      <c r="H70" s="102">
        <f t="shared" si="1"/>
        <v>559677.8685</v>
      </c>
      <c r="I70" s="102">
        <f t="shared" si="1"/>
        <v>559280.9805</v>
      </c>
      <c r="J70" s="102">
        <f t="shared" si="1"/>
        <v>560484.5865</v>
      </c>
      <c r="K70" s="102">
        <f t="shared" si="1"/>
        <v>561539.3595</v>
      </c>
      <c r="L70" s="102">
        <f t="shared" si="1"/>
        <v>560551.4535</v>
      </c>
      <c r="M70" s="102">
        <f t="shared" si="1"/>
        <v>562525.1085</v>
      </c>
      <c r="N70" s="102">
        <f t="shared" si="1"/>
        <v>559012.434</v>
      </c>
      <c r="O70" s="102">
        <f t="shared" si="1"/>
        <v>552673.011</v>
      </c>
      <c r="P70" s="102">
        <f t="shared" si="1"/>
        <v>549566.931</v>
      </c>
      <c r="Q70" s="102">
        <f t="shared" si="1"/>
        <v>548991.012</v>
      </c>
      <c r="R70" s="102">
        <f t="shared" si="1"/>
        <v>544922.681</v>
      </c>
      <c r="S70" s="102">
        <f t="shared" si="1"/>
        <v>536899.578</v>
      </c>
      <c r="T70" s="102">
        <f t="shared" si="1"/>
        <v>525821.1587</v>
      </c>
      <c r="U70" s="102">
        <f t="shared" si="1"/>
        <v>518682.7543</v>
      </c>
      <c r="V70" s="102">
        <f t="shared" si="1"/>
        <v>507168.7774</v>
      </c>
      <c r="W70" s="102">
        <f t="shared" si="1"/>
        <v>492798.6867</v>
      </c>
      <c r="X70" s="102">
        <f t="shared" si="1"/>
        <v>484167.0256</v>
      </c>
    </row>
    <row r="71" spans="2:24" ht="12.75">
      <c r="B71" s="101" t="s">
        <v>5</v>
      </c>
      <c r="C71" s="102">
        <f t="shared" si="2"/>
        <v>403970.479</v>
      </c>
      <c r="D71" s="102">
        <f t="shared" si="1"/>
        <v>414953.1375</v>
      </c>
      <c r="E71" s="102">
        <f t="shared" si="1"/>
        <v>418814.528</v>
      </c>
      <c r="F71" s="102">
        <f t="shared" si="1"/>
        <v>422865.6575</v>
      </c>
      <c r="G71" s="102">
        <f t="shared" si="1"/>
        <v>429710.391</v>
      </c>
      <c r="H71" s="102">
        <f t="shared" si="1"/>
        <v>435564.041</v>
      </c>
      <c r="I71" s="102">
        <f t="shared" si="1"/>
        <v>440402.3855</v>
      </c>
      <c r="J71" s="102">
        <f t="shared" si="1"/>
        <v>444683.624</v>
      </c>
      <c r="K71" s="102">
        <f t="shared" si="1"/>
        <v>447493.376</v>
      </c>
      <c r="L71" s="102">
        <f t="shared" si="1"/>
        <v>450452.497</v>
      </c>
      <c r="M71" s="102">
        <f t="shared" si="1"/>
        <v>453191.6015</v>
      </c>
      <c r="N71" s="102">
        <f t="shared" si="1"/>
        <v>453663.9305</v>
      </c>
      <c r="O71" s="102">
        <f t="shared" si="1"/>
        <v>452103.63</v>
      </c>
      <c r="P71" s="102">
        <f t="shared" si="1"/>
        <v>451919.9465</v>
      </c>
      <c r="Q71" s="102">
        <f t="shared" si="1"/>
        <v>453342.989</v>
      </c>
      <c r="R71" s="102">
        <f t="shared" si="1"/>
        <v>450917.328</v>
      </c>
      <c r="S71" s="102">
        <f t="shared" si="1"/>
        <v>446246.4685</v>
      </c>
      <c r="T71" s="102">
        <f t="shared" si="1"/>
        <v>437623.4445</v>
      </c>
      <c r="U71" s="102">
        <f t="shared" si="1"/>
        <v>431149.942</v>
      </c>
      <c r="V71" s="102">
        <f t="shared" si="1"/>
        <v>421487.2907</v>
      </c>
      <c r="W71" s="102">
        <f t="shared" si="1"/>
        <v>409749.6514</v>
      </c>
      <c r="X71" s="102">
        <f t="shared" si="1"/>
        <v>403329.5171</v>
      </c>
    </row>
    <row r="72" spans="2:24" ht="12.75">
      <c r="B72" s="101" t="s">
        <v>53</v>
      </c>
      <c r="C72" s="102">
        <f t="shared" si="2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295.483</v>
      </c>
      <c r="R72" s="102">
        <f t="shared" si="1"/>
        <v>753.252</v>
      </c>
      <c r="S72" s="102">
        <f t="shared" si="1"/>
        <v>1403.927</v>
      </c>
      <c r="T72" s="102">
        <f t="shared" si="1"/>
        <v>2389.891</v>
      </c>
      <c r="U72" s="102">
        <f t="shared" si="1"/>
        <v>4190.347</v>
      </c>
      <c r="V72" s="102">
        <f t="shared" si="1"/>
        <v>6565.8667</v>
      </c>
      <c r="W72" s="102">
        <f t="shared" si="1"/>
        <v>9356.429</v>
      </c>
      <c r="X72" s="102">
        <f t="shared" si="1"/>
        <v>12677.0833</v>
      </c>
    </row>
    <row r="73" spans="2:24" ht="12.75">
      <c r="B73" s="101" t="s">
        <v>6</v>
      </c>
      <c r="C73" s="102">
        <f t="shared" si="2"/>
        <v>21648.192</v>
      </c>
      <c r="D73" s="102">
        <f t="shared" si="1"/>
        <v>21955.994</v>
      </c>
      <c r="E73" s="102">
        <f t="shared" si="1"/>
        <v>21792.217</v>
      </c>
      <c r="F73" s="102">
        <f t="shared" si="1"/>
        <v>21695.103</v>
      </c>
      <c r="G73" s="102">
        <f t="shared" si="1"/>
        <v>21515.689</v>
      </c>
      <c r="H73" s="102">
        <f t="shared" si="1"/>
        <v>21555.193</v>
      </c>
      <c r="I73" s="102">
        <f t="shared" si="1"/>
        <v>21520.627</v>
      </c>
      <c r="J73" s="102">
        <f t="shared" si="1"/>
        <v>21578.237</v>
      </c>
      <c r="K73" s="102">
        <f t="shared" si="1"/>
        <v>21758.474</v>
      </c>
      <c r="L73" s="102">
        <f t="shared" si="1"/>
        <v>22141.992</v>
      </c>
      <c r="M73" s="102">
        <f t="shared" si="1"/>
        <v>22148.576</v>
      </c>
      <c r="N73" s="102">
        <f t="shared" si="1"/>
        <v>22229.23</v>
      </c>
      <c r="O73" s="102">
        <f t="shared" si="1"/>
        <v>22327.99</v>
      </c>
      <c r="P73" s="102">
        <f t="shared" si="1"/>
        <v>22492.59</v>
      </c>
      <c r="Q73" s="102">
        <f t="shared" si="1"/>
        <v>22607.81</v>
      </c>
      <c r="R73" s="102">
        <f t="shared" si="1"/>
        <v>22789.693</v>
      </c>
      <c r="S73" s="102">
        <f t="shared" si="1"/>
        <v>23039.062</v>
      </c>
      <c r="T73" s="102">
        <f t="shared" si="1"/>
        <v>23033.995</v>
      </c>
      <c r="U73" s="102">
        <f t="shared" si="1"/>
        <v>23247.27</v>
      </c>
      <c r="V73" s="102">
        <f t="shared" si="1"/>
        <v>23181.782</v>
      </c>
      <c r="W73" s="102">
        <f t="shared" si="1"/>
        <v>22740.912</v>
      </c>
      <c r="X73" s="102">
        <f t="shared" si="1"/>
        <v>22779.7134</v>
      </c>
    </row>
    <row r="74" spans="2:24" ht="12.75">
      <c r="B74" s="101" t="s">
        <v>7</v>
      </c>
      <c r="C74" s="102">
        <f t="shared" si="2"/>
        <v>68371.3485</v>
      </c>
      <c r="D74" s="102">
        <f t="shared" si="1"/>
        <v>70798.2345</v>
      </c>
      <c r="E74" s="102">
        <f t="shared" si="1"/>
        <v>71338.9845</v>
      </c>
      <c r="F74" s="102">
        <f t="shared" si="1"/>
        <v>72200.94</v>
      </c>
      <c r="G74" s="102">
        <f t="shared" si="1"/>
        <v>73880.5095</v>
      </c>
      <c r="H74" s="102">
        <f t="shared" si="1"/>
        <v>74661.3525</v>
      </c>
      <c r="I74" s="102">
        <f t="shared" si="1"/>
        <v>75332.964</v>
      </c>
      <c r="J74" s="102">
        <f t="shared" si="1"/>
        <v>75566.568</v>
      </c>
      <c r="K74" s="102">
        <f t="shared" si="1"/>
        <v>74631.0705</v>
      </c>
      <c r="L74" s="102">
        <f t="shared" si="1"/>
        <v>74366.103</v>
      </c>
      <c r="M74" s="102">
        <f t="shared" si="1"/>
        <v>74558.61</v>
      </c>
      <c r="N74" s="102">
        <f t="shared" si="1"/>
        <v>73293.255</v>
      </c>
      <c r="O74" s="102">
        <f t="shared" si="1"/>
        <v>72272.319</v>
      </c>
      <c r="P74" s="102">
        <f t="shared" si="1"/>
        <v>71048.061</v>
      </c>
      <c r="Q74" s="102">
        <f t="shared" si="1"/>
        <v>70254.24</v>
      </c>
      <c r="R74" s="102">
        <f t="shared" si="1"/>
        <v>69475.56</v>
      </c>
      <c r="S74" s="102">
        <f t="shared" si="1"/>
        <v>68123.685</v>
      </c>
      <c r="T74" s="102">
        <f t="shared" si="1"/>
        <v>67231.926</v>
      </c>
      <c r="U74" s="102">
        <f t="shared" si="1"/>
        <v>66810.319</v>
      </c>
      <c r="V74" s="102">
        <f t="shared" si="1"/>
        <v>66061.046</v>
      </c>
      <c r="W74" s="102">
        <f t="shared" si="1"/>
        <v>65563.704</v>
      </c>
      <c r="X74" s="102">
        <f t="shared" si="1"/>
        <v>65466.698</v>
      </c>
    </row>
    <row r="75" spans="2:24" ht="12.75">
      <c r="B75" s="101" t="s">
        <v>8</v>
      </c>
      <c r="C75" s="102">
        <f t="shared" si="2"/>
        <v>89294.82</v>
      </c>
      <c r="D75" s="102">
        <f t="shared" si="1"/>
        <v>91888.875</v>
      </c>
      <c r="E75" s="102">
        <f t="shared" si="1"/>
        <v>92065.005</v>
      </c>
      <c r="F75" s="102">
        <f t="shared" si="1"/>
        <v>92941.02</v>
      </c>
      <c r="G75" s="102">
        <f t="shared" si="1"/>
        <v>93728.97</v>
      </c>
      <c r="H75" s="102">
        <f t="shared" si="1"/>
        <v>93851.025</v>
      </c>
      <c r="I75" s="102">
        <f t="shared" si="1"/>
        <v>94177.02</v>
      </c>
      <c r="J75" s="102">
        <f t="shared" si="1"/>
        <v>94541.64</v>
      </c>
      <c r="K75" s="102">
        <f t="shared" si="1"/>
        <v>94552.455</v>
      </c>
      <c r="L75" s="102">
        <f t="shared" si="1"/>
        <v>95066.94</v>
      </c>
      <c r="M75" s="102">
        <f t="shared" si="1"/>
        <v>95697.3</v>
      </c>
      <c r="N75" s="102">
        <f t="shared" si="1"/>
        <v>94842.915</v>
      </c>
      <c r="O75" s="102">
        <f t="shared" si="1"/>
        <v>94526.19</v>
      </c>
      <c r="P75" s="102">
        <f t="shared" si="1"/>
        <v>93559.02</v>
      </c>
      <c r="Q75" s="102">
        <f t="shared" si="1"/>
        <v>93421.515</v>
      </c>
      <c r="R75" s="102">
        <f t="shared" si="1"/>
        <v>93041.445</v>
      </c>
      <c r="S75" s="102">
        <f t="shared" si="1"/>
        <v>92658.9933</v>
      </c>
      <c r="T75" s="102">
        <f t="shared" si="1"/>
        <v>91777.6696</v>
      </c>
      <c r="U75" s="102">
        <f t="shared" si="1"/>
        <v>91667.5316</v>
      </c>
      <c r="V75" s="102">
        <f t="shared" si="1"/>
        <v>90797.2294</v>
      </c>
      <c r="W75" s="102">
        <f t="shared" si="1"/>
        <v>90214.0071</v>
      </c>
      <c r="X75" s="102">
        <f t="shared" si="1"/>
        <v>89857.102</v>
      </c>
    </row>
    <row r="76" spans="2:24" ht="12.75">
      <c r="B76" s="101" t="s">
        <v>9</v>
      </c>
      <c r="C76" s="102">
        <f t="shared" si="2"/>
        <v>341706.98</v>
      </c>
      <c r="D76" s="102">
        <f t="shared" si="1"/>
        <v>351253.752</v>
      </c>
      <c r="E76" s="102">
        <f t="shared" si="1"/>
        <v>353188.72</v>
      </c>
      <c r="F76" s="102">
        <f t="shared" si="1"/>
        <v>356146.964</v>
      </c>
      <c r="G76" s="102">
        <f t="shared" si="1"/>
        <v>361515.676</v>
      </c>
      <c r="H76" s="102">
        <f t="shared" si="1"/>
        <v>367233.088</v>
      </c>
      <c r="I76" s="102">
        <f t="shared" si="1"/>
        <v>371288.152</v>
      </c>
      <c r="J76" s="102">
        <f t="shared" si="1"/>
        <v>374805.584</v>
      </c>
      <c r="K76" s="102">
        <f t="shared" si="1"/>
        <v>378519.556</v>
      </c>
      <c r="L76" s="102">
        <f t="shared" si="1"/>
        <v>380432.968</v>
      </c>
      <c r="M76" s="102">
        <f t="shared" si="1"/>
        <v>382905.568</v>
      </c>
      <c r="N76" s="102">
        <f t="shared" si="1"/>
        <v>382489.664</v>
      </c>
      <c r="O76" s="102">
        <f t="shared" si="1"/>
        <v>380538.212</v>
      </c>
      <c r="P76" s="102">
        <f t="shared" si="1"/>
        <v>380063.98</v>
      </c>
      <c r="Q76" s="102">
        <f t="shared" si="1"/>
        <v>377632.072</v>
      </c>
      <c r="R76" s="102">
        <f t="shared" si="1"/>
        <v>375197.34</v>
      </c>
      <c r="S76" s="102">
        <f t="shared" si="1"/>
        <v>372870.06</v>
      </c>
      <c r="T76" s="102">
        <f t="shared" si="1"/>
        <v>367132.088</v>
      </c>
      <c r="U76" s="102">
        <f t="shared" si="1"/>
        <v>365617.26</v>
      </c>
      <c r="V76" s="102">
        <f t="shared" si="1"/>
        <v>360819.0895</v>
      </c>
      <c r="W76" s="102">
        <f t="shared" si="1"/>
        <v>349984.7625</v>
      </c>
      <c r="X76" s="102">
        <f t="shared" si="1"/>
        <v>343733.6515</v>
      </c>
    </row>
    <row r="77" spans="2:24" ht="12.75">
      <c r="B77" s="101" t="s">
        <v>10</v>
      </c>
      <c r="C77" s="102">
        <f t="shared" si="2"/>
        <v>237532.35</v>
      </c>
      <c r="D77" s="102">
        <f t="shared" si="1"/>
        <v>244003.287</v>
      </c>
      <c r="E77" s="102">
        <f t="shared" si="1"/>
        <v>246431.5425</v>
      </c>
      <c r="F77" s="102">
        <f t="shared" si="1"/>
        <v>249887.561</v>
      </c>
      <c r="G77" s="102">
        <f t="shared" si="1"/>
        <v>253727.3365</v>
      </c>
      <c r="H77" s="102">
        <f t="shared" si="1"/>
        <v>254836.703</v>
      </c>
      <c r="I77" s="102">
        <f t="shared" si="1"/>
        <v>255992.385</v>
      </c>
      <c r="J77" s="102">
        <f t="shared" si="1"/>
        <v>256576.8425</v>
      </c>
      <c r="K77" s="102">
        <f t="shared" si="1"/>
        <v>256892.229</v>
      </c>
      <c r="L77" s="102">
        <f t="shared" si="1"/>
        <v>257331.1235</v>
      </c>
      <c r="M77" s="102">
        <f t="shared" si="1"/>
        <v>259194.771</v>
      </c>
      <c r="N77" s="102">
        <f t="shared" si="1"/>
        <v>259441.787</v>
      </c>
      <c r="O77" s="102">
        <f t="shared" si="1"/>
        <v>257827.361</v>
      </c>
      <c r="P77" s="102">
        <f t="shared" si="1"/>
        <v>257972.924</v>
      </c>
      <c r="Q77" s="102">
        <f t="shared" si="1"/>
        <v>256080.1485</v>
      </c>
      <c r="R77" s="102">
        <f t="shared" si="1"/>
        <v>253259.6005</v>
      </c>
      <c r="S77" s="102">
        <f t="shared" si="1"/>
        <v>251036.9805</v>
      </c>
      <c r="T77" s="102">
        <f t="shared" si="1"/>
        <v>248870.0065</v>
      </c>
      <c r="U77" s="102">
        <f t="shared" si="1"/>
        <v>247664.1531</v>
      </c>
      <c r="V77" s="102">
        <f t="shared" si="1"/>
        <v>246275.1266</v>
      </c>
      <c r="W77" s="102">
        <f t="shared" si="1"/>
        <v>241297.8227</v>
      </c>
      <c r="X77" s="102">
        <f t="shared" si="1"/>
        <v>240376.2041</v>
      </c>
    </row>
    <row r="78" spans="2:24" ht="12.75">
      <c r="B78" s="101" t="s">
        <v>11</v>
      </c>
      <c r="C78" s="102">
        <f t="shared" si="2"/>
        <v>226933.0905</v>
      </c>
      <c r="D78" s="102">
        <f t="shared" si="1"/>
        <v>229787.133</v>
      </c>
      <c r="E78" s="102">
        <f t="shared" si="1"/>
        <v>228377.8755</v>
      </c>
      <c r="F78" s="102">
        <f t="shared" si="1"/>
        <v>228522.354</v>
      </c>
      <c r="G78" s="102">
        <f t="shared" si="1"/>
        <v>230528.4735</v>
      </c>
      <c r="H78" s="102">
        <f t="shared" si="1"/>
        <v>232115.3685</v>
      </c>
      <c r="I78" s="102">
        <f t="shared" si="1"/>
        <v>232446.9585</v>
      </c>
      <c r="J78" s="102">
        <f t="shared" si="1"/>
        <v>233754.3705</v>
      </c>
      <c r="K78" s="102">
        <f t="shared" si="1"/>
        <v>234893.619</v>
      </c>
      <c r="L78" s="102">
        <f t="shared" si="1"/>
        <v>235767.5955</v>
      </c>
      <c r="M78" s="102">
        <f t="shared" si="1"/>
        <v>236996.847</v>
      </c>
      <c r="N78" s="102">
        <f t="shared" si="1"/>
        <v>237508.443</v>
      </c>
      <c r="O78" s="102">
        <f t="shared" si="1"/>
        <v>237089.2185</v>
      </c>
      <c r="P78" s="102">
        <f t="shared" si="1"/>
        <v>239010.072</v>
      </c>
      <c r="Q78" s="102">
        <f t="shared" si="1"/>
        <v>238799.3105</v>
      </c>
      <c r="R78" s="102">
        <f t="shared" si="1"/>
        <v>237797.496</v>
      </c>
      <c r="S78" s="102">
        <f t="shared" si="1"/>
        <v>236402.1105</v>
      </c>
      <c r="T78" s="102">
        <f t="shared" si="1"/>
        <v>234714.7605</v>
      </c>
      <c r="U78" s="102">
        <f t="shared" si="1"/>
        <v>235699.5143</v>
      </c>
      <c r="V78" s="102">
        <f aca="true" t="shared" si="3" ref="D78:X90">IF(ISERROR(V47),0,V47)</f>
        <v>233049.1464</v>
      </c>
      <c r="W78" s="102">
        <f t="shared" si="3"/>
        <v>229179.965</v>
      </c>
      <c r="X78" s="102">
        <f t="shared" si="3"/>
        <v>229384.8666</v>
      </c>
    </row>
    <row r="79" spans="2:24" ht="12.75">
      <c r="B79" s="101" t="s">
        <v>12</v>
      </c>
      <c r="C79" s="102">
        <f t="shared" si="2"/>
        <v>17486.6355</v>
      </c>
      <c r="D79" s="102">
        <f t="shared" si="3"/>
        <v>18317.979</v>
      </c>
      <c r="E79" s="102">
        <f t="shared" si="3"/>
        <v>19011.9495</v>
      </c>
      <c r="F79" s="102">
        <f t="shared" si="3"/>
        <v>19874.0835</v>
      </c>
      <c r="G79" s="102">
        <f t="shared" si="3"/>
        <v>20454.366</v>
      </c>
      <c r="H79" s="102">
        <f t="shared" si="3"/>
        <v>21304.6575</v>
      </c>
      <c r="I79" s="102">
        <f t="shared" si="3"/>
        <v>21712.0395</v>
      </c>
      <c r="J79" s="102">
        <f t="shared" si="3"/>
        <v>21622.0365</v>
      </c>
      <c r="K79" s="102">
        <f t="shared" si="3"/>
        <v>21434.925</v>
      </c>
      <c r="L79" s="102">
        <f t="shared" si="3"/>
        <v>21458.61</v>
      </c>
      <c r="M79" s="102">
        <f t="shared" si="3"/>
        <v>21290.4465</v>
      </c>
      <c r="N79" s="102">
        <f t="shared" si="3"/>
        <v>21337.8165</v>
      </c>
      <c r="O79" s="102">
        <f t="shared" si="3"/>
        <v>20776.482</v>
      </c>
      <c r="P79" s="102">
        <f t="shared" si="3"/>
        <v>20845.1685</v>
      </c>
      <c r="Q79" s="102">
        <f t="shared" si="3"/>
        <v>20432.5995</v>
      </c>
      <c r="R79" s="102">
        <f t="shared" si="3"/>
        <v>20338.412</v>
      </c>
      <c r="S79" s="102">
        <f t="shared" si="3"/>
        <v>20785.248</v>
      </c>
      <c r="T79" s="102">
        <f t="shared" si="3"/>
        <v>20820.86</v>
      </c>
      <c r="U79" s="102">
        <f t="shared" si="3"/>
        <v>21021.79</v>
      </c>
      <c r="V79" s="102">
        <f t="shared" si="3"/>
        <v>21688.6875</v>
      </c>
      <c r="W79" s="102">
        <f t="shared" si="3"/>
        <v>22315.1115</v>
      </c>
      <c r="X79" s="102">
        <f t="shared" si="3"/>
        <v>23436.2475</v>
      </c>
    </row>
    <row r="80" spans="2:24" ht="12.75">
      <c r="B80" s="101" t="s">
        <v>13</v>
      </c>
      <c r="C80" s="102">
        <f t="shared" si="2"/>
        <v>0</v>
      </c>
      <c r="D80" s="102">
        <f t="shared" si="3"/>
        <v>0</v>
      </c>
      <c r="E80" s="102">
        <f t="shared" si="3"/>
        <v>0</v>
      </c>
      <c r="F80" s="102">
        <f t="shared" si="3"/>
        <v>0</v>
      </c>
      <c r="G80" s="102">
        <f t="shared" si="3"/>
        <v>0</v>
      </c>
      <c r="H80" s="102">
        <f t="shared" si="3"/>
        <v>0</v>
      </c>
      <c r="I80" s="102">
        <f t="shared" si="3"/>
        <v>0</v>
      </c>
      <c r="J80" s="102">
        <f t="shared" si="3"/>
        <v>0</v>
      </c>
      <c r="K80" s="102">
        <f t="shared" si="3"/>
        <v>0</v>
      </c>
      <c r="L80" s="102">
        <f t="shared" si="3"/>
        <v>0</v>
      </c>
      <c r="M80" s="102">
        <f t="shared" si="3"/>
        <v>1052.946</v>
      </c>
      <c r="N80" s="102">
        <f t="shared" si="3"/>
        <v>3764.565</v>
      </c>
      <c r="O80" s="102">
        <f t="shared" si="3"/>
        <v>7351.752</v>
      </c>
      <c r="P80" s="102">
        <f t="shared" si="3"/>
        <v>12419.2905</v>
      </c>
      <c r="Q80" s="102">
        <f t="shared" si="3"/>
        <v>18585.063</v>
      </c>
      <c r="R80" s="102">
        <f t="shared" si="3"/>
        <v>25089.5118</v>
      </c>
      <c r="S80" s="102">
        <f t="shared" si="3"/>
        <v>32559.0808</v>
      </c>
      <c r="T80" s="102">
        <f t="shared" si="3"/>
        <v>40165.7505</v>
      </c>
      <c r="U80" s="102">
        <f t="shared" si="3"/>
        <v>49022.4017</v>
      </c>
      <c r="V80" s="102">
        <f t="shared" si="3"/>
        <v>58096.8809</v>
      </c>
      <c r="W80" s="102">
        <f t="shared" si="3"/>
        <v>66912.5245</v>
      </c>
      <c r="X80" s="102">
        <f t="shared" si="3"/>
        <v>78365.4233</v>
      </c>
    </row>
    <row r="81" spans="2:24" ht="12.75">
      <c r="B81" s="101" t="s">
        <v>14</v>
      </c>
      <c r="C81" s="102">
        <f t="shared" si="2"/>
        <v>91364.58</v>
      </c>
      <c r="D81" s="102">
        <f t="shared" si="3"/>
        <v>97085.16</v>
      </c>
      <c r="E81" s="102">
        <f t="shared" si="3"/>
        <v>100626.21</v>
      </c>
      <c r="F81" s="102">
        <f t="shared" si="3"/>
        <v>103040.4375</v>
      </c>
      <c r="G81" s="102">
        <f t="shared" si="3"/>
        <v>105892.4925</v>
      </c>
      <c r="H81" s="102">
        <f t="shared" si="3"/>
        <v>109005.3225</v>
      </c>
      <c r="I81" s="102">
        <f t="shared" si="3"/>
        <v>111725.6175</v>
      </c>
      <c r="J81" s="102">
        <f t="shared" si="3"/>
        <v>116191.7325</v>
      </c>
      <c r="K81" s="102">
        <f t="shared" si="3"/>
        <v>120862.35</v>
      </c>
      <c r="L81" s="102">
        <f t="shared" si="3"/>
        <v>125796.4875</v>
      </c>
      <c r="M81" s="102">
        <f t="shared" si="3"/>
        <v>129717.72</v>
      </c>
      <c r="N81" s="102">
        <f t="shared" si="3"/>
        <v>134293.635</v>
      </c>
      <c r="O81" s="102">
        <f t="shared" si="3"/>
        <v>136867.0725</v>
      </c>
      <c r="P81" s="102">
        <f t="shared" si="3"/>
        <v>140214.6</v>
      </c>
      <c r="Q81" s="102">
        <f t="shared" si="3"/>
        <v>144363.6675</v>
      </c>
      <c r="R81" s="102">
        <f t="shared" si="3"/>
        <v>147514.9275</v>
      </c>
      <c r="S81" s="102">
        <f t="shared" si="3"/>
        <v>152141.625</v>
      </c>
      <c r="T81" s="102">
        <f t="shared" si="3"/>
        <v>154608.0075</v>
      </c>
      <c r="U81" s="102">
        <f t="shared" si="3"/>
        <v>160052.715</v>
      </c>
      <c r="V81" s="102">
        <f t="shared" si="3"/>
        <v>163065.3525</v>
      </c>
      <c r="W81" s="102">
        <f t="shared" si="3"/>
        <v>164824.8975</v>
      </c>
      <c r="X81" s="102">
        <f t="shared" si="3"/>
        <v>168898.4775</v>
      </c>
    </row>
    <row r="82" spans="2:24" ht="12.75">
      <c r="B82" s="101" t="s">
        <v>15</v>
      </c>
      <c r="C82" s="102">
        <f t="shared" si="2"/>
        <v>11059.455</v>
      </c>
      <c r="D82" s="102">
        <f t="shared" si="3"/>
        <v>12077.298</v>
      </c>
      <c r="E82" s="102">
        <f t="shared" si="3"/>
        <v>12968.688</v>
      </c>
      <c r="F82" s="102">
        <f t="shared" si="3"/>
        <v>14119.203</v>
      </c>
      <c r="G82" s="102">
        <f t="shared" si="3"/>
        <v>14888.286</v>
      </c>
      <c r="H82" s="102">
        <f t="shared" si="3"/>
        <v>15425.193</v>
      </c>
      <c r="I82" s="102">
        <f t="shared" si="3"/>
        <v>16190.13</v>
      </c>
      <c r="J82" s="102">
        <f t="shared" si="3"/>
        <v>17067.009</v>
      </c>
      <c r="K82" s="102">
        <f t="shared" si="3"/>
        <v>17773.902</v>
      </c>
      <c r="L82" s="102">
        <f t="shared" si="3"/>
        <v>18555.423</v>
      </c>
      <c r="M82" s="102">
        <f t="shared" si="3"/>
        <v>19498.638</v>
      </c>
      <c r="N82" s="102">
        <f t="shared" si="3"/>
        <v>19838.61</v>
      </c>
      <c r="O82" s="102">
        <f t="shared" si="3"/>
        <v>20499.897</v>
      </c>
      <c r="P82" s="102">
        <f t="shared" si="3"/>
        <v>20949.738</v>
      </c>
      <c r="Q82" s="102">
        <f t="shared" si="3"/>
        <v>21762.354</v>
      </c>
      <c r="R82" s="102">
        <f t="shared" si="3"/>
        <v>21975.873</v>
      </c>
      <c r="S82" s="102">
        <f t="shared" si="3"/>
        <v>22858.971</v>
      </c>
      <c r="T82" s="102">
        <f t="shared" si="3"/>
        <v>23727.558</v>
      </c>
      <c r="U82" s="102">
        <f t="shared" si="3"/>
        <v>24631.386</v>
      </c>
      <c r="V82" s="102">
        <f t="shared" si="3"/>
        <v>25489.608</v>
      </c>
      <c r="W82" s="102">
        <f t="shared" si="3"/>
        <v>26447.334</v>
      </c>
      <c r="X82" s="102">
        <f t="shared" si="3"/>
        <v>27471.396</v>
      </c>
    </row>
    <row r="83" spans="2:24" ht="12.75">
      <c r="B83" s="101" t="s">
        <v>16</v>
      </c>
      <c r="C83" s="102">
        <f t="shared" si="2"/>
        <v>14730.6705</v>
      </c>
      <c r="D83" s="102">
        <f t="shared" si="3"/>
        <v>23427.8785</v>
      </c>
      <c r="E83" s="102">
        <f t="shared" si="3"/>
        <v>32373.1915</v>
      </c>
      <c r="F83" s="102">
        <f t="shared" si="3"/>
        <v>41981.6215</v>
      </c>
      <c r="G83" s="102">
        <f t="shared" si="3"/>
        <v>52217.0805</v>
      </c>
      <c r="H83" s="102">
        <f t="shared" si="3"/>
        <v>63334.44</v>
      </c>
      <c r="I83" s="102">
        <f t="shared" si="3"/>
        <v>75123.9385</v>
      </c>
      <c r="J83" s="102">
        <f t="shared" si="3"/>
        <v>87689.329</v>
      </c>
      <c r="K83" s="102">
        <f t="shared" si="3"/>
        <v>101285.483</v>
      </c>
      <c r="L83" s="102">
        <f t="shared" si="3"/>
        <v>114453.092</v>
      </c>
      <c r="M83" s="102">
        <f t="shared" si="3"/>
        <v>126089.2165</v>
      </c>
      <c r="N83" s="102">
        <f t="shared" si="3"/>
        <v>136633.679</v>
      </c>
      <c r="O83" s="102">
        <f t="shared" si="3"/>
        <v>145080.5265</v>
      </c>
      <c r="P83" s="102">
        <f t="shared" si="3"/>
        <v>152649.9845</v>
      </c>
      <c r="Q83" s="102">
        <f t="shared" si="3"/>
        <v>160995.3345</v>
      </c>
      <c r="R83" s="102">
        <f t="shared" si="3"/>
        <v>167358.1</v>
      </c>
      <c r="S83" s="102">
        <f t="shared" si="3"/>
        <v>174830.5715</v>
      </c>
      <c r="T83" s="102">
        <f t="shared" si="3"/>
        <v>179666.3635</v>
      </c>
      <c r="U83" s="102">
        <f t="shared" si="3"/>
        <v>185562.2405</v>
      </c>
      <c r="V83" s="102">
        <f t="shared" si="3"/>
        <v>189556.731</v>
      </c>
      <c r="W83" s="102">
        <f t="shared" si="3"/>
        <v>191735.544</v>
      </c>
      <c r="X83" s="102">
        <f t="shared" si="3"/>
        <v>195849.576</v>
      </c>
    </row>
    <row r="84" spans="2:24" ht="12.75">
      <c r="B84" s="101" t="s">
        <v>17</v>
      </c>
      <c r="C84" s="102">
        <f t="shared" si="2"/>
        <v>0</v>
      </c>
      <c r="D84" s="102">
        <f t="shared" si="3"/>
        <v>0</v>
      </c>
      <c r="E84" s="102">
        <f t="shared" si="3"/>
        <v>0</v>
      </c>
      <c r="F84" s="102">
        <f t="shared" si="3"/>
        <v>0</v>
      </c>
      <c r="G84" s="102">
        <f t="shared" si="3"/>
        <v>0</v>
      </c>
      <c r="H84" s="102">
        <f t="shared" si="3"/>
        <v>0</v>
      </c>
      <c r="I84" s="102">
        <f t="shared" si="3"/>
        <v>0</v>
      </c>
      <c r="J84" s="102">
        <f t="shared" si="3"/>
        <v>0</v>
      </c>
      <c r="K84" s="102">
        <f t="shared" si="3"/>
        <v>0</v>
      </c>
      <c r="L84" s="102">
        <f t="shared" si="3"/>
        <v>379.625</v>
      </c>
      <c r="M84" s="102">
        <f t="shared" si="3"/>
        <v>2007.457</v>
      </c>
      <c r="N84" s="102">
        <f t="shared" si="3"/>
        <v>5779.411</v>
      </c>
      <c r="O84" s="102">
        <f t="shared" si="3"/>
        <v>10180.024</v>
      </c>
      <c r="P84" s="102">
        <f t="shared" si="3"/>
        <v>17781.635</v>
      </c>
      <c r="Q84" s="102">
        <f t="shared" si="3"/>
        <v>25735.538</v>
      </c>
      <c r="R84" s="102">
        <f t="shared" si="3"/>
        <v>33403.963</v>
      </c>
      <c r="S84" s="102">
        <f t="shared" si="3"/>
        <v>42390.446</v>
      </c>
      <c r="T84" s="102">
        <f t="shared" si="3"/>
        <v>52303.214</v>
      </c>
      <c r="U84" s="102">
        <f t="shared" si="3"/>
        <v>62504.497</v>
      </c>
      <c r="V84" s="102">
        <f t="shared" si="3"/>
        <v>72086.232</v>
      </c>
      <c r="W84" s="102">
        <f t="shared" si="3"/>
        <v>82415.069</v>
      </c>
      <c r="X84" s="102">
        <f t="shared" si="3"/>
        <v>94939.657</v>
      </c>
    </row>
    <row r="85" spans="2:24" ht="12.75">
      <c r="B85" s="101" t="s">
        <v>18</v>
      </c>
      <c r="C85" s="102">
        <f t="shared" si="2"/>
        <v>0</v>
      </c>
      <c r="D85" s="102">
        <f t="shared" si="3"/>
        <v>0</v>
      </c>
      <c r="E85" s="102">
        <f t="shared" si="3"/>
        <v>0</v>
      </c>
      <c r="F85" s="102">
        <f t="shared" si="3"/>
        <v>0</v>
      </c>
      <c r="G85" s="102">
        <f t="shared" si="3"/>
        <v>0</v>
      </c>
      <c r="H85" s="102">
        <f t="shared" si="3"/>
        <v>0</v>
      </c>
      <c r="I85" s="102">
        <f t="shared" si="3"/>
        <v>0</v>
      </c>
      <c r="J85" s="102">
        <f t="shared" si="3"/>
        <v>0</v>
      </c>
      <c r="K85" s="102">
        <f t="shared" si="3"/>
        <v>0</v>
      </c>
      <c r="L85" s="102">
        <f t="shared" si="3"/>
        <v>0</v>
      </c>
      <c r="M85" s="102">
        <f t="shared" si="3"/>
        <v>610.944</v>
      </c>
      <c r="N85" s="102">
        <f t="shared" si="3"/>
        <v>2585.856</v>
      </c>
      <c r="O85" s="102">
        <f t="shared" si="3"/>
        <v>4468.416</v>
      </c>
      <c r="P85" s="102">
        <f t="shared" si="3"/>
        <v>8020.416</v>
      </c>
      <c r="Q85" s="102">
        <f t="shared" si="3"/>
        <v>11611.488</v>
      </c>
      <c r="R85" s="102">
        <f t="shared" si="3"/>
        <v>15302.016</v>
      </c>
      <c r="S85" s="102">
        <f t="shared" si="3"/>
        <v>19575.072</v>
      </c>
      <c r="T85" s="102">
        <f t="shared" si="3"/>
        <v>23642.112</v>
      </c>
      <c r="U85" s="102">
        <f t="shared" si="3"/>
        <v>28202.88</v>
      </c>
      <c r="V85" s="102">
        <f t="shared" si="3"/>
        <v>33797.28</v>
      </c>
      <c r="W85" s="102">
        <f t="shared" si="3"/>
        <v>39650.976</v>
      </c>
      <c r="X85" s="102">
        <f t="shared" si="3"/>
        <v>45781.728</v>
      </c>
    </row>
    <row r="86" spans="2:24" ht="12.75">
      <c r="B86" s="101" t="s">
        <v>19</v>
      </c>
      <c r="C86" s="102">
        <f t="shared" si="2"/>
        <v>3507.168</v>
      </c>
      <c r="D86" s="102">
        <f t="shared" si="3"/>
        <v>3384.982</v>
      </c>
      <c r="E86" s="102">
        <f t="shared" si="3"/>
        <v>3376.386</v>
      </c>
      <c r="F86" s="102">
        <f t="shared" si="3"/>
        <v>3335.862</v>
      </c>
      <c r="G86" s="102">
        <f t="shared" si="3"/>
        <v>3376.386</v>
      </c>
      <c r="H86" s="102">
        <f t="shared" si="3"/>
        <v>3335.248</v>
      </c>
      <c r="I86" s="102">
        <f t="shared" si="3"/>
        <v>3419.366</v>
      </c>
      <c r="J86" s="102">
        <f t="shared" si="3"/>
        <v>3471.556</v>
      </c>
      <c r="K86" s="102">
        <f t="shared" si="3"/>
        <v>3492.432</v>
      </c>
      <c r="L86" s="102">
        <f t="shared" si="3"/>
        <v>3604.794</v>
      </c>
      <c r="M86" s="102">
        <f t="shared" si="3"/>
        <v>3600.496</v>
      </c>
      <c r="N86" s="102">
        <f t="shared" si="3"/>
        <v>3591.9</v>
      </c>
      <c r="O86" s="102">
        <f t="shared" si="3"/>
        <v>3591.9</v>
      </c>
      <c r="P86" s="102">
        <f t="shared" si="3"/>
        <v>3612.776</v>
      </c>
      <c r="Q86" s="102">
        <f t="shared" si="3"/>
        <v>3697.508</v>
      </c>
      <c r="R86" s="102">
        <f t="shared" si="3"/>
        <v>3677.86</v>
      </c>
      <c r="S86" s="102">
        <f t="shared" si="3"/>
        <v>3673.562</v>
      </c>
      <c r="T86" s="102">
        <f t="shared" si="3"/>
        <v>3709.788</v>
      </c>
      <c r="U86" s="102">
        <f t="shared" si="3"/>
        <v>3710.402</v>
      </c>
      <c r="V86" s="102">
        <f t="shared" si="3"/>
        <v>3758.294</v>
      </c>
      <c r="W86" s="102">
        <f t="shared" si="3"/>
        <v>3741.716</v>
      </c>
      <c r="X86" s="102">
        <f t="shared" si="3"/>
        <v>3765.662</v>
      </c>
    </row>
    <row r="87" spans="2:24" ht="12.75">
      <c r="B87" s="101" t="s">
        <v>20</v>
      </c>
      <c r="C87" s="102">
        <f t="shared" si="2"/>
        <v>15855.6235</v>
      </c>
      <c r="D87" s="102">
        <f t="shared" si="3"/>
        <v>16113.424</v>
      </c>
      <c r="E87" s="102">
        <f t="shared" si="3"/>
        <v>15916.967</v>
      </c>
      <c r="F87" s="102">
        <f t="shared" si="3"/>
        <v>15628.147</v>
      </c>
      <c r="G87" s="102">
        <f t="shared" si="3"/>
        <v>15698.5055</v>
      </c>
      <c r="H87" s="102">
        <f t="shared" si="3"/>
        <v>15592.656</v>
      </c>
      <c r="I87" s="102">
        <f t="shared" si="3"/>
        <v>15811.1285</v>
      </c>
      <c r="J87" s="102">
        <f t="shared" si="3"/>
        <v>15851.9875</v>
      </c>
      <c r="K87" s="102">
        <f t="shared" si="3"/>
        <v>15794.447</v>
      </c>
      <c r="L87" s="102">
        <f t="shared" si="3"/>
        <v>15774.736</v>
      </c>
      <c r="M87" s="102">
        <f t="shared" si="3"/>
        <v>15655.582</v>
      </c>
      <c r="N87" s="102">
        <f t="shared" si="3"/>
        <v>15596.8595</v>
      </c>
      <c r="O87" s="102">
        <f t="shared" si="3"/>
        <v>15358.1645</v>
      </c>
      <c r="P87" s="102">
        <f t="shared" si="3"/>
        <v>15278.8</v>
      </c>
      <c r="Q87" s="102">
        <f t="shared" si="3"/>
        <v>15211.005</v>
      </c>
      <c r="R87" s="102">
        <f t="shared" si="3"/>
        <v>15171.6455</v>
      </c>
      <c r="S87" s="102">
        <f t="shared" si="3"/>
        <v>15035.6245</v>
      </c>
      <c r="T87" s="102">
        <f t="shared" si="3"/>
        <v>14859.68</v>
      </c>
      <c r="U87" s="102">
        <f t="shared" si="3"/>
        <v>14764.835</v>
      </c>
      <c r="V87" s="102">
        <f t="shared" si="3"/>
        <v>14432.0165</v>
      </c>
      <c r="W87" s="102">
        <f t="shared" si="3"/>
        <v>13823.131</v>
      </c>
      <c r="X87" s="102">
        <f t="shared" si="3"/>
        <v>13376.471</v>
      </c>
    </row>
    <row r="88" spans="2:24" ht="12.75">
      <c r="B88" s="101" t="s">
        <v>21</v>
      </c>
      <c r="C88" s="102">
        <f t="shared" si="2"/>
        <v>1715.547</v>
      </c>
      <c r="D88" s="102">
        <f t="shared" si="3"/>
        <v>1762.651</v>
      </c>
      <c r="E88" s="102">
        <f t="shared" si="3"/>
        <v>1763.594</v>
      </c>
      <c r="F88" s="102">
        <f t="shared" si="3"/>
        <v>1736.937</v>
      </c>
      <c r="G88" s="102">
        <f t="shared" si="3"/>
        <v>1737.788</v>
      </c>
      <c r="H88" s="102">
        <f t="shared" si="3"/>
        <v>1761.938</v>
      </c>
      <c r="I88" s="102">
        <f t="shared" si="3"/>
        <v>1770.5975</v>
      </c>
      <c r="J88" s="102">
        <f t="shared" si="3"/>
        <v>1771.7475</v>
      </c>
      <c r="K88" s="102">
        <f t="shared" si="3"/>
        <v>1805.6495</v>
      </c>
      <c r="L88" s="102">
        <f t="shared" si="3"/>
        <v>1841.9895</v>
      </c>
      <c r="M88" s="102">
        <f t="shared" si="3"/>
        <v>1850.9825</v>
      </c>
      <c r="N88" s="102">
        <f t="shared" si="3"/>
        <v>1843.1855</v>
      </c>
      <c r="O88" s="102">
        <f t="shared" si="3"/>
        <v>1847.5325</v>
      </c>
      <c r="P88" s="102">
        <f t="shared" si="3"/>
        <v>1836.0785</v>
      </c>
      <c r="Q88" s="102">
        <f t="shared" si="3"/>
        <v>1824.774</v>
      </c>
      <c r="R88" s="102">
        <f t="shared" si="3"/>
        <v>1863.828</v>
      </c>
      <c r="S88" s="102">
        <f t="shared" si="3"/>
        <v>1888.3575</v>
      </c>
      <c r="T88" s="102">
        <f t="shared" si="3"/>
        <v>1867.301</v>
      </c>
      <c r="U88" s="102">
        <f t="shared" si="3"/>
        <v>1890.37</v>
      </c>
      <c r="V88" s="102">
        <f t="shared" si="3"/>
        <v>1871.05</v>
      </c>
      <c r="W88" s="102">
        <f t="shared" si="3"/>
        <v>1869.7275</v>
      </c>
      <c r="X88" s="102">
        <f t="shared" si="3"/>
        <v>1848.74</v>
      </c>
    </row>
    <row r="89" spans="2:24" ht="12.75">
      <c r="B89" s="101" t="s">
        <v>22</v>
      </c>
      <c r="C89" s="102">
        <f t="shared" si="2"/>
        <v>1849.799</v>
      </c>
      <c r="D89" s="102">
        <f t="shared" si="3"/>
        <v>1827.504</v>
      </c>
      <c r="E89" s="102">
        <f t="shared" si="3"/>
        <v>1744.841</v>
      </c>
      <c r="F89" s="102">
        <f t="shared" si="3"/>
        <v>1695.449</v>
      </c>
      <c r="G89" s="102">
        <f t="shared" si="3"/>
        <v>1673.154</v>
      </c>
      <c r="H89" s="102">
        <f t="shared" si="3"/>
        <v>1633.023</v>
      </c>
      <c r="I89" s="102">
        <f t="shared" si="3"/>
        <v>1648.801</v>
      </c>
      <c r="J89" s="102">
        <f t="shared" si="3"/>
        <v>1653.603</v>
      </c>
      <c r="K89" s="102">
        <f t="shared" si="3"/>
        <v>1689.961</v>
      </c>
      <c r="L89" s="102">
        <f t="shared" si="3"/>
        <v>1669.381</v>
      </c>
      <c r="M89" s="102">
        <f t="shared" si="3"/>
        <v>1683.101</v>
      </c>
      <c r="N89" s="102">
        <f t="shared" si="3"/>
        <v>1660.463</v>
      </c>
      <c r="O89" s="102">
        <f t="shared" si="3"/>
        <v>1594.95</v>
      </c>
      <c r="P89" s="102">
        <f t="shared" si="3"/>
        <v>1593.235</v>
      </c>
      <c r="Q89" s="102">
        <f t="shared" si="3"/>
        <v>1591.177</v>
      </c>
      <c r="R89" s="102">
        <f t="shared" si="3"/>
        <v>1607.298</v>
      </c>
      <c r="S89" s="102">
        <f t="shared" si="3"/>
        <v>1628.221</v>
      </c>
      <c r="T89" s="102">
        <f t="shared" si="3"/>
        <v>1626.163</v>
      </c>
      <c r="U89" s="102">
        <f t="shared" si="3"/>
        <v>1640.226</v>
      </c>
      <c r="V89" s="102">
        <f t="shared" si="3"/>
        <v>1660.463</v>
      </c>
      <c r="W89" s="102">
        <f t="shared" si="3"/>
        <v>1664.579</v>
      </c>
      <c r="X89" s="102">
        <f t="shared" si="3"/>
        <v>1662.521</v>
      </c>
    </row>
    <row r="90" spans="2:24" ht="12.75">
      <c r="B90" s="101" t="s">
        <v>23</v>
      </c>
      <c r="C90" s="102">
        <f t="shared" si="2"/>
        <v>0</v>
      </c>
      <c r="D90" s="102">
        <f t="shared" si="3"/>
        <v>0</v>
      </c>
      <c r="E90" s="102">
        <f t="shared" si="3"/>
        <v>0</v>
      </c>
      <c r="F90" s="102">
        <f t="shared" si="3"/>
        <v>0</v>
      </c>
      <c r="G90" s="102">
        <f t="shared" si="3"/>
        <v>0</v>
      </c>
      <c r="H90" s="102">
        <f t="shared" si="3"/>
        <v>0</v>
      </c>
      <c r="I90" s="102">
        <f t="shared" si="3"/>
        <v>0</v>
      </c>
      <c r="J90" s="102">
        <f t="shared" si="3"/>
        <v>0</v>
      </c>
      <c r="K90" s="102">
        <f t="shared" si="3"/>
        <v>0</v>
      </c>
      <c r="L90" s="102">
        <f t="shared" si="3"/>
        <v>0</v>
      </c>
      <c r="M90" s="102">
        <f t="shared" si="3"/>
        <v>0</v>
      </c>
      <c r="N90" s="102">
        <f t="shared" si="3"/>
        <v>582.282</v>
      </c>
      <c r="O90" s="102">
        <f t="shared" si="3"/>
        <v>2056.923</v>
      </c>
      <c r="P90" s="102">
        <f t="shared" si="3"/>
        <v>4629.063</v>
      </c>
      <c r="Q90" s="102">
        <f t="shared" si="3"/>
        <v>8107.5322</v>
      </c>
      <c r="R90" s="102">
        <f t="shared" si="3"/>
        <v>11984.4464</v>
      </c>
      <c r="S90" s="102">
        <f t="shared" si="3"/>
        <v>16295.7051</v>
      </c>
      <c r="T90" s="102">
        <f t="shared" si="3"/>
        <v>20721.6006</v>
      </c>
      <c r="U90" s="102">
        <f t="shared" si="3"/>
        <v>25627.6026</v>
      </c>
      <c r="V90" s="102">
        <f t="shared" si="3"/>
        <v>30614.8716</v>
      </c>
      <c r="W90" s="102">
        <f t="shared" si="3"/>
        <v>35362.2846</v>
      </c>
      <c r="X90" s="102">
        <f t="shared" si="3"/>
        <v>40993.3776</v>
      </c>
    </row>
    <row r="91" spans="2:24" ht="12.75">
      <c r="B91" s="101" t="s">
        <v>24</v>
      </c>
      <c r="C91" s="102">
        <f t="shared" si="2"/>
        <v>174715.1855</v>
      </c>
      <c r="D91" s="102">
        <f aca="true" t="shared" si="4" ref="D91:X94">IF(ISERROR(D60),0,D60)</f>
        <v>178578.6775</v>
      </c>
      <c r="E91" s="102">
        <f t="shared" si="4"/>
        <v>179509.2615</v>
      </c>
      <c r="F91" s="102">
        <f t="shared" si="4"/>
        <v>180264.7075</v>
      </c>
      <c r="G91" s="102">
        <f t="shared" si="4"/>
        <v>182968.8905</v>
      </c>
      <c r="H91" s="102">
        <f t="shared" si="4"/>
        <v>184870.5755</v>
      </c>
      <c r="I91" s="102">
        <f t="shared" si="4"/>
        <v>186572.2895</v>
      </c>
      <c r="J91" s="102">
        <f t="shared" si="4"/>
        <v>187732.9055</v>
      </c>
      <c r="K91" s="102">
        <f t="shared" si="4"/>
        <v>188737.9885</v>
      </c>
      <c r="L91" s="102">
        <f t="shared" si="4"/>
        <v>189367.309</v>
      </c>
      <c r="M91" s="102">
        <f t="shared" si="4"/>
        <v>189854.1665</v>
      </c>
      <c r="N91" s="102">
        <f t="shared" si="4"/>
        <v>189528.7235</v>
      </c>
      <c r="O91" s="102">
        <f t="shared" si="4"/>
        <v>186210.904</v>
      </c>
      <c r="P91" s="102">
        <f t="shared" si="4"/>
        <v>182205.6025</v>
      </c>
      <c r="Q91" s="102">
        <f t="shared" si="4"/>
        <v>177067.321</v>
      </c>
      <c r="R91" s="102">
        <f t="shared" si="4"/>
        <v>170753.3165</v>
      </c>
      <c r="S91" s="102">
        <f t="shared" si="4"/>
        <v>163517.308</v>
      </c>
      <c r="T91" s="102">
        <f t="shared" si="4"/>
        <v>155551.5765</v>
      </c>
      <c r="U91" s="102">
        <f t="shared" si="4"/>
        <v>147796.7125</v>
      </c>
      <c r="V91" s="102">
        <f t="shared" si="4"/>
        <v>138739.4235</v>
      </c>
      <c r="W91" s="102">
        <f t="shared" si="4"/>
        <v>128826.1165</v>
      </c>
      <c r="X91" s="102">
        <f t="shared" si="4"/>
        <v>120678.3255</v>
      </c>
    </row>
    <row r="92" spans="2:24" ht="12.75">
      <c r="B92" s="101" t="s">
        <v>25</v>
      </c>
      <c r="C92" s="102">
        <f t="shared" si="2"/>
        <v>66905.3845</v>
      </c>
      <c r="D92" s="102">
        <f t="shared" si="4"/>
        <v>67482.1865</v>
      </c>
      <c r="E92" s="102">
        <f t="shared" si="4"/>
        <v>66588.5015</v>
      </c>
      <c r="F92" s="102">
        <f t="shared" si="4"/>
        <v>65920.4835</v>
      </c>
      <c r="G92" s="102">
        <f t="shared" si="4"/>
        <v>65661.374</v>
      </c>
      <c r="H92" s="102">
        <f t="shared" si="4"/>
        <v>65331.272</v>
      </c>
      <c r="I92" s="102">
        <f t="shared" si="4"/>
        <v>64721.276</v>
      </c>
      <c r="J92" s="102">
        <f t="shared" si="4"/>
        <v>64556.5125</v>
      </c>
      <c r="K92" s="102">
        <f t="shared" si="4"/>
        <v>64006.151</v>
      </c>
      <c r="L92" s="102">
        <f t="shared" si="4"/>
        <v>63745.249</v>
      </c>
      <c r="M92" s="102">
        <f t="shared" si="4"/>
        <v>63639.0805</v>
      </c>
      <c r="N92" s="102">
        <f t="shared" si="4"/>
        <v>63237.5875</v>
      </c>
      <c r="O92" s="102">
        <f t="shared" si="4"/>
        <v>62437.7375</v>
      </c>
      <c r="P92" s="102">
        <f t="shared" si="4"/>
        <v>61672.0505</v>
      </c>
      <c r="Q92" s="102">
        <f t="shared" si="4"/>
        <v>61256.7385</v>
      </c>
      <c r="R92" s="102">
        <f t="shared" si="4"/>
        <v>60537.7545</v>
      </c>
      <c r="S92" s="102">
        <f t="shared" si="4"/>
        <v>59743.3075</v>
      </c>
      <c r="T92" s="102">
        <f t="shared" si="4"/>
        <v>58655.3675</v>
      </c>
      <c r="U92" s="102">
        <f t="shared" si="4"/>
        <v>58325.8515</v>
      </c>
      <c r="V92" s="102">
        <f t="shared" si="4"/>
        <v>57140.1695</v>
      </c>
      <c r="W92" s="102">
        <f t="shared" si="4"/>
        <v>55945.569</v>
      </c>
      <c r="X92" s="102">
        <f t="shared" si="4"/>
        <v>55517.6985</v>
      </c>
    </row>
    <row r="93" spans="2:24" ht="12.75">
      <c r="B93" s="101" t="s">
        <v>26</v>
      </c>
      <c r="C93" s="102">
        <f t="shared" si="2"/>
        <v>15849.95</v>
      </c>
      <c r="D93" s="102">
        <f t="shared" si="4"/>
        <v>15974.4325</v>
      </c>
      <c r="E93" s="102">
        <f t="shared" si="4"/>
        <v>15887.418</v>
      </c>
      <c r="F93" s="102">
        <f t="shared" si="4"/>
        <v>15806.566</v>
      </c>
      <c r="G93" s="102">
        <f t="shared" si="4"/>
        <v>15752.5825</v>
      </c>
      <c r="H93" s="102">
        <f t="shared" si="4"/>
        <v>15677.4</v>
      </c>
      <c r="I93" s="102">
        <f t="shared" si="4"/>
        <v>15554.3965</v>
      </c>
      <c r="J93" s="102">
        <f t="shared" si="4"/>
        <v>15483.651</v>
      </c>
      <c r="K93" s="102">
        <f t="shared" si="4"/>
        <v>15358.1825</v>
      </c>
      <c r="L93" s="102">
        <f t="shared" si="4"/>
        <v>15409.701</v>
      </c>
      <c r="M93" s="102">
        <f t="shared" si="4"/>
        <v>15279.7955</v>
      </c>
      <c r="N93" s="102">
        <f t="shared" si="4"/>
        <v>15184.1535</v>
      </c>
      <c r="O93" s="102">
        <f t="shared" si="4"/>
        <v>14929.7655</v>
      </c>
      <c r="P93" s="102">
        <f t="shared" si="4"/>
        <v>14829.44</v>
      </c>
      <c r="Q93" s="102">
        <f t="shared" si="4"/>
        <v>14746.616</v>
      </c>
      <c r="R93" s="102">
        <f t="shared" si="4"/>
        <v>14638.156</v>
      </c>
      <c r="S93" s="102">
        <f t="shared" si="4"/>
        <v>14576.531</v>
      </c>
      <c r="T93" s="102">
        <f t="shared" si="4"/>
        <v>14419.5105</v>
      </c>
      <c r="U93" s="102">
        <f t="shared" si="4"/>
        <v>14401.7625</v>
      </c>
      <c r="V93" s="102">
        <f t="shared" si="4"/>
        <v>14219.8455</v>
      </c>
      <c r="W93" s="102">
        <f t="shared" si="4"/>
        <v>14076.3825</v>
      </c>
      <c r="X93" s="102">
        <f t="shared" si="4"/>
        <v>13994.791</v>
      </c>
    </row>
    <row r="94" spans="2:24" ht="12.75">
      <c r="B94" s="101" t="s">
        <v>108</v>
      </c>
      <c r="C94" s="102">
        <f t="shared" si="2"/>
        <v>0</v>
      </c>
      <c r="D94" s="102">
        <f t="shared" si="4"/>
        <v>0</v>
      </c>
      <c r="E94" s="102">
        <f t="shared" si="4"/>
        <v>0</v>
      </c>
      <c r="F94" s="102">
        <f t="shared" si="4"/>
        <v>0</v>
      </c>
      <c r="G94" s="102">
        <f t="shared" si="4"/>
        <v>0</v>
      </c>
      <c r="H94" s="102">
        <f t="shared" si="4"/>
        <v>0</v>
      </c>
      <c r="I94" s="102">
        <f t="shared" si="4"/>
        <v>0</v>
      </c>
      <c r="J94" s="102">
        <f t="shared" si="4"/>
        <v>0</v>
      </c>
      <c r="K94" s="102">
        <f t="shared" si="4"/>
        <v>0</v>
      </c>
      <c r="L94" s="102">
        <f t="shared" si="4"/>
        <v>0</v>
      </c>
      <c r="M94" s="102">
        <f t="shared" si="4"/>
        <v>0</v>
      </c>
      <c r="N94" s="102">
        <f t="shared" si="4"/>
        <v>0</v>
      </c>
      <c r="O94" s="102">
        <f t="shared" si="4"/>
        <v>0</v>
      </c>
      <c r="P94" s="102">
        <f t="shared" si="4"/>
        <v>0</v>
      </c>
      <c r="Q94" s="102">
        <f t="shared" si="4"/>
        <v>0</v>
      </c>
      <c r="R94" s="102">
        <f t="shared" si="4"/>
        <v>0</v>
      </c>
      <c r="S94" s="102">
        <f t="shared" si="4"/>
        <v>0</v>
      </c>
      <c r="T94" s="102">
        <f t="shared" si="4"/>
        <v>0</v>
      </c>
      <c r="U94" s="102">
        <f t="shared" si="4"/>
        <v>0</v>
      </c>
      <c r="V94" s="102">
        <f t="shared" si="4"/>
        <v>0</v>
      </c>
      <c r="W94" s="102">
        <f t="shared" si="4"/>
        <v>0</v>
      </c>
      <c r="X94" s="102">
        <f t="shared" si="4"/>
        <v>55.077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4" ht="13.5" thickBot="1">
      <c r="B96" s="9" t="s">
        <v>0</v>
      </c>
      <c r="C96" s="12">
        <v>38443</v>
      </c>
      <c r="D96" s="12">
        <v>38473</v>
      </c>
      <c r="E96" s="12">
        <v>38504</v>
      </c>
      <c r="F96" s="12">
        <v>38534</v>
      </c>
      <c r="G96" s="12">
        <v>38565</v>
      </c>
      <c r="H96" s="12">
        <v>38596</v>
      </c>
      <c r="I96" s="12">
        <v>38626</v>
      </c>
      <c r="J96" s="12">
        <v>38657</v>
      </c>
      <c r="K96" s="12">
        <v>38687</v>
      </c>
      <c r="L96" s="12">
        <v>38718</v>
      </c>
      <c r="M96" s="12">
        <v>38749</v>
      </c>
      <c r="N96" s="12">
        <v>38777</v>
      </c>
      <c r="O96" s="12">
        <v>38808</v>
      </c>
      <c r="P96" s="12">
        <v>38838</v>
      </c>
      <c r="Q96" s="12">
        <v>38869</v>
      </c>
      <c r="R96" s="12">
        <v>38899</v>
      </c>
      <c r="S96" s="12">
        <v>38930</v>
      </c>
      <c r="T96" s="12">
        <v>38961</v>
      </c>
      <c r="U96" s="12">
        <v>38991</v>
      </c>
      <c r="V96" s="12">
        <v>39022</v>
      </c>
      <c r="W96" s="12">
        <v>39052</v>
      </c>
      <c r="X96" s="12">
        <v>39083</v>
      </c>
    </row>
    <row r="97" spans="2:24" ht="13.5" thickTop="1">
      <c r="B97" s="7" t="s">
        <v>27</v>
      </c>
      <c r="C97" s="8">
        <f>SUM(C66:C68)</f>
        <v>421945.021</v>
      </c>
      <c r="D97" s="8">
        <f aca="true" t="shared" si="5" ref="D97:X97">SUM(D66:D68)</f>
        <v>428781.47699999996</v>
      </c>
      <c r="E97" s="8">
        <f t="shared" si="5"/>
        <v>422581.88</v>
      </c>
      <c r="F97" s="8">
        <f t="shared" si="5"/>
        <v>419139.34349999996</v>
      </c>
      <c r="G97" s="8">
        <f t="shared" si="5"/>
        <v>417251.24399999995</v>
      </c>
      <c r="H97" s="8">
        <f t="shared" si="5"/>
        <v>415263.4495</v>
      </c>
      <c r="I97" s="8">
        <f t="shared" si="5"/>
        <v>413494.39749999996</v>
      </c>
      <c r="J97" s="8">
        <f t="shared" si="5"/>
        <v>411327.984</v>
      </c>
      <c r="K97" s="8">
        <f t="shared" si="5"/>
        <v>408909.4635</v>
      </c>
      <c r="L97" s="8">
        <f t="shared" si="5"/>
        <v>406502.509</v>
      </c>
      <c r="M97" s="8">
        <f t="shared" si="5"/>
        <v>405184.08900000004</v>
      </c>
      <c r="N97" s="8">
        <f t="shared" si="5"/>
        <v>401732.97349999996</v>
      </c>
      <c r="O97" s="8">
        <f t="shared" si="5"/>
        <v>396257.6015</v>
      </c>
      <c r="P97" s="8">
        <f t="shared" si="5"/>
        <v>394415.9465</v>
      </c>
      <c r="Q97" s="8">
        <f t="shared" si="5"/>
        <v>395193.8335</v>
      </c>
      <c r="R97" s="8">
        <f t="shared" si="5"/>
        <v>396885.5525</v>
      </c>
      <c r="S97" s="8">
        <f t="shared" si="5"/>
        <v>396958.1645000001</v>
      </c>
      <c r="T97" s="8">
        <f t="shared" si="5"/>
        <v>396721.732</v>
      </c>
      <c r="U97" s="8">
        <f t="shared" si="5"/>
        <v>400012.0745</v>
      </c>
      <c r="V97" s="8">
        <f t="shared" si="5"/>
        <v>399781.88450000004</v>
      </c>
      <c r="W97" s="8">
        <f t="shared" si="5"/>
        <v>396851.228</v>
      </c>
      <c r="X97" s="8">
        <f t="shared" si="5"/>
        <v>400157.463</v>
      </c>
    </row>
    <row r="98" spans="2:24" ht="12.75">
      <c r="B98" s="1" t="s">
        <v>28</v>
      </c>
      <c r="C98" s="4">
        <f>SUM(C69:C71)</f>
        <v>944651.6484999999</v>
      </c>
      <c r="D98" s="4">
        <f aca="true" t="shared" si="6" ref="D98:X98">SUM(D69:D71)</f>
        <v>967279.95</v>
      </c>
      <c r="E98" s="4">
        <f t="shared" si="6"/>
        <v>970497.476</v>
      </c>
      <c r="F98" s="4">
        <f t="shared" si="6"/>
        <v>976114.5875</v>
      </c>
      <c r="G98" s="4">
        <f t="shared" si="6"/>
        <v>986692.0094999999</v>
      </c>
      <c r="H98" s="4">
        <f t="shared" si="6"/>
        <v>995241.9095000001</v>
      </c>
      <c r="I98" s="4">
        <f t="shared" si="6"/>
        <v>999683.3659999999</v>
      </c>
      <c r="J98" s="4">
        <f t="shared" si="6"/>
        <v>1005168.2105</v>
      </c>
      <c r="K98" s="4">
        <f t="shared" si="6"/>
        <v>1009032.7355</v>
      </c>
      <c r="L98" s="4">
        <f t="shared" si="6"/>
        <v>1011003.9504999999</v>
      </c>
      <c r="M98" s="4">
        <f t="shared" si="6"/>
        <v>1015716.71</v>
      </c>
      <c r="N98" s="4">
        <f t="shared" si="6"/>
        <v>1012676.3645</v>
      </c>
      <c r="O98" s="4">
        <f t="shared" si="6"/>
        <v>1004776.6410000001</v>
      </c>
      <c r="P98" s="4">
        <f t="shared" si="6"/>
        <v>1001486.8775</v>
      </c>
      <c r="Q98" s="4">
        <f t="shared" si="6"/>
        <v>1002334.0009999999</v>
      </c>
      <c r="R98" s="4">
        <f t="shared" si="6"/>
        <v>995840.009</v>
      </c>
      <c r="S98" s="4">
        <f t="shared" si="6"/>
        <v>983146.0464999999</v>
      </c>
      <c r="T98" s="4">
        <f t="shared" si="6"/>
        <v>963494.2342000001</v>
      </c>
      <c r="U98" s="4">
        <f t="shared" si="6"/>
        <v>949927.0508</v>
      </c>
      <c r="V98" s="4">
        <f t="shared" si="6"/>
        <v>928887.3716</v>
      </c>
      <c r="W98" s="4">
        <f t="shared" si="6"/>
        <v>902910.4941</v>
      </c>
      <c r="X98" s="4">
        <f t="shared" si="6"/>
        <v>888083.9057</v>
      </c>
    </row>
    <row r="99" spans="2:24" ht="12.75">
      <c r="B99" s="1" t="s">
        <v>54</v>
      </c>
      <c r="C99" s="4">
        <f>C72</f>
        <v>0</v>
      </c>
      <c r="D99" s="4">
        <f aca="true" t="shared" si="7" ref="D99:X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0</v>
      </c>
      <c r="P99" s="4">
        <f t="shared" si="7"/>
        <v>0</v>
      </c>
      <c r="Q99" s="4">
        <f t="shared" si="7"/>
        <v>295.483</v>
      </c>
      <c r="R99" s="4">
        <f t="shared" si="7"/>
        <v>753.252</v>
      </c>
      <c r="S99" s="4">
        <f t="shared" si="7"/>
        <v>1403.927</v>
      </c>
      <c r="T99" s="4">
        <f t="shared" si="7"/>
        <v>2389.891</v>
      </c>
      <c r="U99" s="4">
        <f t="shared" si="7"/>
        <v>4190.347</v>
      </c>
      <c r="V99" s="4">
        <f t="shared" si="7"/>
        <v>6565.8667</v>
      </c>
      <c r="W99" s="4">
        <f t="shared" si="7"/>
        <v>9356.429</v>
      </c>
      <c r="X99" s="4">
        <f t="shared" si="7"/>
        <v>12677.0833</v>
      </c>
    </row>
    <row r="100" spans="2:24" ht="12.75">
      <c r="B100" s="1" t="s">
        <v>29</v>
      </c>
      <c r="C100" s="4">
        <f>SUM(C73:C75)</f>
        <v>179314.3605</v>
      </c>
      <c r="D100" s="4">
        <f aca="true" t="shared" si="8" ref="D100:X100">SUM(D73:D75)</f>
        <v>184643.1035</v>
      </c>
      <c r="E100" s="4">
        <f t="shared" si="8"/>
        <v>185196.20650000003</v>
      </c>
      <c r="F100" s="4">
        <f t="shared" si="8"/>
        <v>186837.06300000002</v>
      </c>
      <c r="G100" s="4">
        <f t="shared" si="8"/>
        <v>189125.1685</v>
      </c>
      <c r="H100" s="4">
        <f t="shared" si="8"/>
        <v>190067.57049999997</v>
      </c>
      <c r="I100" s="4">
        <f t="shared" si="8"/>
        <v>191030.61100000003</v>
      </c>
      <c r="J100" s="4">
        <f t="shared" si="8"/>
        <v>191686.445</v>
      </c>
      <c r="K100" s="4">
        <f t="shared" si="8"/>
        <v>190941.9995</v>
      </c>
      <c r="L100" s="4">
        <f t="shared" si="8"/>
        <v>191575.035</v>
      </c>
      <c r="M100" s="4">
        <f t="shared" si="8"/>
        <v>192404.486</v>
      </c>
      <c r="N100" s="4">
        <f t="shared" si="8"/>
        <v>190365.4</v>
      </c>
      <c r="O100" s="4">
        <f t="shared" si="8"/>
        <v>189126.499</v>
      </c>
      <c r="P100" s="4">
        <f t="shared" si="8"/>
        <v>187099.671</v>
      </c>
      <c r="Q100" s="4">
        <f t="shared" si="8"/>
        <v>186283.565</v>
      </c>
      <c r="R100" s="4">
        <f t="shared" si="8"/>
        <v>185306.698</v>
      </c>
      <c r="S100" s="4">
        <f t="shared" si="8"/>
        <v>183821.7403</v>
      </c>
      <c r="T100" s="4">
        <f t="shared" si="8"/>
        <v>182043.5906</v>
      </c>
      <c r="U100" s="4">
        <f t="shared" si="8"/>
        <v>181725.12060000002</v>
      </c>
      <c r="V100" s="4">
        <f t="shared" si="8"/>
        <v>180040.0574</v>
      </c>
      <c r="W100" s="4">
        <f t="shared" si="8"/>
        <v>178518.6231</v>
      </c>
      <c r="X100" s="4">
        <f t="shared" si="8"/>
        <v>178103.5134</v>
      </c>
    </row>
    <row r="101" spans="2:24" ht="12.75">
      <c r="B101" s="1" t="s">
        <v>30</v>
      </c>
      <c r="C101" s="4">
        <f>SUM(C76:C79)</f>
        <v>823659.056</v>
      </c>
      <c r="D101" s="4">
        <f aca="true" t="shared" si="9" ref="D101:X101">SUM(D76:D79)</f>
        <v>843362.1510000001</v>
      </c>
      <c r="E101" s="4">
        <f t="shared" si="9"/>
        <v>847010.0874999999</v>
      </c>
      <c r="F101" s="4">
        <f t="shared" si="9"/>
        <v>854430.9624999999</v>
      </c>
      <c r="G101" s="4">
        <f t="shared" si="9"/>
        <v>866225.852</v>
      </c>
      <c r="H101" s="4">
        <f t="shared" si="9"/>
        <v>875489.8169999999</v>
      </c>
      <c r="I101" s="4">
        <f t="shared" si="9"/>
        <v>881439.5349999999</v>
      </c>
      <c r="J101" s="4">
        <f t="shared" si="9"/>
        <v>886758.8335</v>
      </c>
      <c r="K101" s="4">
        <f t="shared" si="9"/>
        <v>891740.3289999999</v>
      </c>
      <c r="L101" s="4">
        <f t="shared" si="9"/>
        <v>894990.2969999999</v>
      </c>
      <c r="M101" s="4">
        <f t="shared" si="9"/>
        <v>900387.6325</v>
      </c>
      <c r="N101" s="4">
        <f t="shared" si="9"/>
        <v>900777.7104999999</v>
      </c>
      <c r="O101" s="4">
        <f t="shared" si="9"/>
        <v>896231.2734999999</v>
      </c>
      <c r="P101" s="4">
        <f t="shared" si="9"/>
        <v>897892.1445</v>
      </c>
      <c r="Q101" s="4">
        <f t="shared" si="9"/>
        <v>892944.1305000001</v>
      </c>
      <c r="R101" s="4">
        <f t="shared" si="9"/>
        <v>886592.8485000001</v>
      </c>
      <c r="S101" s="4">
        <f t="shared" si="9"/>
        <v>881094.3990000001</v>
      </c>
      <c r="T101" s="4">
        <f t="shared" si="9"/>
        <v>871537.715</v>
      </c>
      <c r="U101" s="4">
        <f t="shared" si="9"/>
        <v>870002.7174000001</v>
      </c>
      <c r="V101" s="4">
        <f t="shared" si="9"/>
        <v>861832.0499999999</v>
      </c>
      <c r="W101" s="4">
        <f t="shared" si="9"/>
        <v>842777.6616999999</v>
      </c>
      <c r="X101" s="4">
        <f t="shared" si="9"/>
        <v>836930.9697</v>
      </c>
    </row>
    <row r="102" spans="2:24" ht="12.75">
      <c r="B102" s="1" t="s">
        <v>31</v>
      </c>
      <c r="C102" s="4">
        <f>SUM(C80:C82)</f>
        <v>102424.035</v>
      </c>
      <c r="D102" s="4">
        <f aca="true" t="shared" si="10" ref="D102:X102">SUM(D80:D82)</f>
        <v>109162.458</v>
      </c>
      <c r="E102" s="4">
        <f t="shared" si="10"/>
        <v>113594.898</v>
      </c>
      <c r="F102" s="4">
        <f t="shared" si="10"/>
        <v>117159.6405</v>
      </c>
      <c r="G102" s="4">
        <f t="shared" si="10"/>
        <v>120780.77849999999</v>
      </c>
      <c r="H102" s="4">
        <f t="shared" si="10"/>
        <v>124430.5155</v>
      </c>
      <c r="I102" s="4">
        <f t="shared" si="10"/>
        <v>127915.7475</v>
      </c>
      <c r="J102" s="4">
        <f t="shared" si="10"/>
        <v>133258.7415</v>
      </c>
      <c r="K102" s="4">
        <f t="shared" si="10"/>
        <v>138636.252</v>
      </c>
      <c r="L102" s="4">
        <f t="shared" si="10"/>
        <v>144351.9105</v>
      </c>
      <c r="M102" s="4">
        <f t="shared" si="10"/>
        <v>150269.304</v>
      </c>
      <c r="N102" s="4">
        <f t="shared" si="10"/>
        <v>157896.81</v>
      </c>
      <c r="O102" s="4">
        <f t="shared" si="10"/>
        <v>164718.7215</v>
      </c>
      <c r="P102" s="4">
        <f t="shared" si="10"/>
        <v>173583.62850000002</v>
      </c>
      <c r="Q102" s="4">
        <f t="shared" si="10"/>
        <v>184711.0845</v>
      </c>
      <c r="R102" s="4">
        <f t="shared" si="10"/>
        <v>194580.3123</v>
      </c>
      <c r="S102" s="4">
        <f t="shared" si="10"/>
        <v>207559.6768</v>
      </c>
      <c r="T102" s="4">
        <f t="shared" si="10"/>
        <v>218501.316</v>
      </c>
      <c r="U102" s="4">
        <f t="shared" si="10"/>
        <v>233706.5027</v>
      </c>
      <c r="V102" s="4">
        <f t="shared" si="10"/>
        <v>246651.8414</v>
      </c>
      <c r="W102" s="4">
        <f t="shared" si="10"/>
        <v>258184.756</v>
      </c>
      <c r="X102" s="4">
        <f t="shared" si="10"/>
        <v>274735.2968</v>
      </c>
    </row>
    <row r="103" spans="2:24" ht="12.75">
      <c r="B103" s="1" t="s">
        <v>32</v>
      </c>
      <c r="C103" s="4">
        <f>C83</f>
        <v>14730.6705</v>
      </c>
      <c r="D103" s="4">
        <f aca="true" t="shared" si="11" ref="D103:X103">D83</f>
        <v>23427.8785</v>
      </c>
      <c r="E103" s="4">
        <f t="shared" si="11"/>
        <v>32373.1915</v>
      </c>
      <c r="F103" s="4">
        <f t="shared" si="11"/>
        <v>41981.6215</v>
      </c>
      <c r="G103" s="4">
        <f t="shared" si="11"/>
        <v>52217.0805</v>
      </c>
      <c r="H103" s="4">
        <f t="shared" si="11"/>
        <v>63334.44</v>
      </c>
      <c r="I103" s="4">
        <f t="shared" si="11"/>
        <v>75123.9385</v>
      </c>
      <c r="J103" s="4">
        <f t="shared" si="11"/>
        <v>87689.329</v>
      </c>
      <c r="K103" s="4">
        <f t="shared" si="11"/>
        <v>101285.483</v>
      </c>
      <c r="L103" s="4">
        <f t="shared" si="11"/>
        <v>114453.092</v>
      </c>
      <c r="M103" s="4">
        <f t="shared" si="11"/>
        <v>126089.2165</v>
      </c>
      <c r="N103" s="4">
        <f t="shared" si="11"/>
        <v>136633.679</v>
      </c>
      <c r="O103" s="4">
        <f t="shared" si="11"/>
        <v>145080.5265</v>
      </c>
      <c r="P103" s="4">
        <f t="shared" si="11"/>
        <v>152649.9845</v>
      </c>
      <c r="Q103" s="4">
        <f t="shared" si="11"/>
        <v>160995.3345</v>
      </c>
      <c r="R103" s="4">
        <f t="shared" si="11"/>
        <v>167358.1</v>
      </c>
      <c r="S103" s="4">
        <f t="shared" si="11"/>
        <v>174830.5715</v>
      </c>
      <c r="T103" s="4">
        <f t="shared" si="11"/>
        <v>179666.3635</v>
      </c>
      <c r="U103" s="4">
        <f t="shared" si="11"/>
        <v>185562.2405</v>
      </c>
      <c r="V103" s="4">
        <f t="shared" si="11"/>
        <v>189556.731</v>
      </c>
      <c r="W103" s="4">
        <f t="shared" si="11"/>
        <v>191735.544</v>
      </c>
      <c r="X103" s="4">
        <f t="shared" si="11"/>
        <v>195849.576</v>
      </c>
    </row>
    <row r="104" spans="2:24" ht="12.75">
      <c r="B104" s="1" t="s">
        <v>33</v>
      </c>
      <c r="C104" s="4">
        <f>SUM(C84:C85)</f>
        <v>0</v>
      </c>
      <c r="D104" s="4">
        <f aca="true" t="shared" si="12" ref="D104:X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4">
        <f t="shared" si="12"/>
        <v>0</v>
      </c>
      <c r="L104" s="4">
        <f t="shared" si="12"/>
        <v>379.625</v>
      </c>
      <c r="M104" s="4">
        <f t="shared" si="12"/>
        <v>2618.401</v>
      </c>
      <c r="N104" s="4">
        <f t="shared" si="12"/>
        <v>8365.267</v>
      </c>
      <c r="O104" s="4">
        <f t="shared" si="12"/>
        <v>14648.439999999999</v>
      </c>
      <c r="P104" s="4">
        <f t="shared" si="12"/>
        <v>25802.051</v>
      </c>
      <c r="Q104" s="4">
        <f t="shared" si="12"/>
        <v>37347.026</v>
      </c>
      <c r="R104" s="4">
        <f t="shared" si="12"/>
        <v>48705.97900000001</v>
      </c>
      <c r="S104" s="4">
        <f t="shared" si="12"/>
        <v>61965.518000000004</v>
      </c>
      <c r="T104" s="4">
        <f t="shared" si="12"/>
        <v>75945.326</v>
      </c>
      <c r="U104" s="4">
        <f t="shared" si="12"/>
        <v>90707.37700000001</v>
      </c>
      <c r="V104" s="4">
        <f t="shared" si="12"/>
        <v>105883.512</v>
      </c>
      <c r="W104" s="4">
        <f t="shared" si="12"/>
        <v>122066.04500000001</v>
      </c>
      <c r="X104" s="4">
        <f t="shared" si="12"/>
        <v>140721.385</v>
      </c>
    </row>
    <row r="105" spans="2:24" ht="12.75">
      <c r="B105" s="1" t="s">
        <v>34</v>
      </c>
      <c r="C105" s="4">
        <f>C86</f>
        <v>3507.168</v>
      </c>
      <c r="D105" s="4">
        <f aca="true" t="shared" si="13" ref="D105:X105">D86</f>
        <v>3384.982</v>
      </c>
      <c r="E105" s="4">
        <f t="shared" si="13"/>
        <v>3376.386</v>
      </c>
      <c r="F105" s="4">
        <f t="shared" si="13"/>
        <v>3335.862</v>
      </c>
      <c r="G105" s="4">
        <f t="shared" si="13"/>
        <v>3376.386</v>
      </c>
      <c r="H105" s="4">
        <f t="shared" si="13"/>
        <v>3335.248</v>
      </c>
      <c r="I105" s="4">
        <f t="shared" si="13"/>
        <v>3419.366</v>
      </c>
      <c r="J105" s="4">
        <f t="shared" si="13"/>
        <v>3471.556</v>
      </c>
      <c r="K105" s="4">
        <f t="shared" si="13"/>
        <v>3492.432</v>
      </c>
      <c r="L105" s="4">
        <f t="shared" si="13"/>
        <v>3604.794</v>
      </c>
      <c r="M105" s="4">
        <f t="shared" si="13"/>
        <v>3600.496</v>
      </c>
      <c r="N105" s="4">
        <f t="shared" si="13"/>
        <v>3591.9</v>
      </c>
      <c r="O105" s="4">
        <f t="shared" si="13"/>
        <v>3591.9</v>
      </c>
      <c r="P105" s="4">
        <f t="shared" si="13"/>
        <v>3612.776</v>
      </c>
      <c r="Q105" s="4">
        <f t="shared" si="13"/>
        <v>3697.508</v>
      </c>
      <c r="R105" s="4">
        <f t="shared" si="13"/>
        <v>3677.86</v>
      </c>
      <c r="S105" s="4">
        <f t="shared" si="13"/>
        <v>3673.562</v>
      </c>
      <c r="T105" s="4">
        <f t="shared" si="13"/>
        <v>3709.788</v>
      </c>
      <c r="U105" s="4">
        <f t="shared" si="13"/>
        <v>3710.402</v>
      </c>
      <c r="V105" s="4">
        <f t="shared" si="13"/>
        <v>3758.294</v>
      </c>
      <c r="W105" s="4">
        <f t="shared" si="13"/>
        <v>3741.716</v>
      </c>
      <c r="X105" s="4">
        <f t="shared" si="13"/>
        <v>3765.662</v>
      </c>
    </row>
    <row r="106" spans="2:24" ht="12.75">
      <c r="B106" s="86" t="s">
        <v>35</v>
      </c>
      <c r="C106" s="4">
        <f>SUM(C87:C93)</f>
        <v>276891.4895</v>
      </c>
      <c r="D106" s="4">
        <f aca="true" t="shared" si="14" ref="D106:X106">SUM(D87:D93)</f>
        <v>281738.87549999997</v>
      </c>
      <c r="E106" s="4">
        <f t="shared" si="14"/>
        <v>281410.583</v>
      </c>
      <c r="F106" s="4">
        <f t="shared" si="14"/>
        <v>281052.29</v>
      </c>
      <c r="G106" s="4">
        <f t="shared" si="14"/>
        <v>283492.2945</v>
      </c>
      <c r="H106" s="4">
        <f t="shared" si="14"/>
        <v>284866.8645</v>
      </c>
      <c r="I106" s="4">
        <f t="shared" si="14"/>
        <v>286078.489</v>
      </c>
      <c r="J106" s="4">
        <f t="shared" si="14"/>
        <v>287050.407</v>
      </c>
      <c r="K106" s="4">
        <f t="shared" si="14"/>
        <v>287392.3795</v>
      </c>
      <c r="L106" s="4">
        <f t="shared" si="14"/>
        <v>287808.3655</v>
      </c>
      <c r="M106" s="4">
        <f t="shared" si="14"/>
        <v>287962.708</v>
      </c>
      <c r="N106" s="4">
        <f t="shared" si="14"/>
        <v>287633.25450000004</v>
      </c>
      <c r="O106" s="4">
        <f t="shared" si="14"/>
        <v>284435.977</v>
      </c>
      <c r="P106" s="4">
        <f t="shared" si="14"/>
        <v>282044.2695</v>
      </c>
      <c r="Q106" s="4">
        <f t="shared" si="14"/>
        <v>279805.1637</v>
      </c>
      <c r="R106" s="4">
        <f t="shared" si="14"/>
        <v>276556.4449</v>
      </c>
      <c r="S106" s="4">
        <f t="shared" si="14"/>
        <v>272685.0546</v>
      </c>
      <c r="T106" s="4">
        <f t="shared" si="14"/>
        <v>267701.19909999997</v>
      </c>
      <c r="U106" s="4">
        <f t="shared" si="14"/>
        <v>264447.3601</v>
      </c>
      <c r="V106" s="4">
        <f t="shared" si="14"/>
        <v>258677.8396</v>
      </c>
      <c r="W106" s="4">
        <f t="shared" si="14"/>
        <v>251567.79010000004</v>
      </c>
      <c r="X106" s="4">
        <f t="shared" si="14"/>
        <v>248071.9246</v>
      </c>
    </row>
    <row r="107" spans="2:24" ht="13.5" thickBot="1">
      <c r="B107" s="2" t="s">
        <v>109</v>
      </c>
      <c r="C107" s="87">
        <f>C94</f>
        <v>0</v>
      </c>
      <c r="D107" s="87">
        <f aca="true" t="shared" si="15" ref="D107:X107">D94</f>
        <v>0</v>
      </c>
      <c r="E107" s="87">
        <f t="shared" si="15"/>
        <v>0</v>
      </c>
      <c r="F107" s="87">
        <f t="shared" si="15"/>
        <v>0</v>
      </c>
      <c r="G107" s="87">
        <f t="shared" si="15"/>
        <v>0</v>
      </c>
      <c r="H107" s="87">
        <f t="shared" si="15"/>
        <v>0</v>
      </c>
      <c r="I107" s="87">
        <f t="shared" si="15"/>
        <v>0</v>
      </c>
      <c r="J107" s="87">
        <f t="shared" si="15"/>
        <v>0</v>
      </c>
      <c r="K107" s="87">
        <f t="shared" si="15"/>
        <v>0</v>
      </c>
      <c r="L107" s="87">
        <f t="shared" si="15"/>
        <v>0</v>
      </c>
      <c r="M107" s="87">
        <f t="shared" si="15"/>
        <v>0</v>
      </c>
      <c r="N107" s="87">
        <f t="shared" si="15"/>
        <v>0</v>
      </c>
      <c r="O107" s="87">
        <f t="shared" si="15"/>
        <v>0</v>
      </c>
      <c r="P107" s="87">
        <f t="shared" si="15"/>
        <v>0</v>
      </c>
      <c r="Q107" s="87">
        <f t="shared" si="15"/>
        <v>0</v>
      </c>
      <c r="R107" s="87">
        <f t="shared" si="15"/>
        <v>0</v>
      </c>
      <c r="S107" s="87">
        <f t="shared" si="15"/>
        <v>0</v>
      </c>
      <c r="T107" s="87">
        <f t="shared" si="15"/>
        <v>0</v>
      </c>
      <c r="U107" s="87">
        <f t="shared" si="15"/>
        <v>0</v>
      </c>
      <c r="V107" s="87">
        <f t="shared" si="15"/>
        <v>0</v>
      </c>
      <c r="W107" s="87">
        <f t="shared" si="15"/>
        <v>0</v>
      </c>
      <c r="X107" s="87">
        <f t="shared" si="15"/>
        <v>55.077</v>
      </c>
    </row>
    <row r="108" spans="2:24" ht="13.5" thickTop="1">
      <c r="B108" s="3" t="s">
        <v>36</v>
      </c>
      <c r="C108" s="18">
        <f>SUM(C97:C107)</f>
        <v>2767123.449</v>
      </c>
      <c r="D108" s="18">
        <f aca="true" t="shared" si="16" ref="D108:X108">SUM(D97:D107)</f>
        <v>2841780.8755</v>
      </c>
      <c r="E108" s="18">
        <f t="shared" si="16"/>
        <v>2856040.7085000006</v>
      </c>
      <c r="F108" s="18">
        <f t="shared" si="16"/>
        <v>2880051.3705</v>
      </c>
      <c r="G108" s="18">
        <f t="shared" si="16"/>
        <v>2919160.8134999997</v>
      </c>
      <c r="H108" s="18">
        <f t="shared" si="16"/>
        <v>2952029.8145000003</v>
      </c>
      <c r="I108" s="18">
        <f t="shared" si="16"/>
        <v>2978185.4505000003</v>
      </c>
      <c r="J108" s="18">
        <f t="shared" si="16"/>
        <v>3006411.5065</v>
      </c>
      <c r="K108" s="18">
        <f t="shared" si="16"/>
        <v>3031431.0739999996</v>
      </c>
      <c r="L108" s="18">
        <f t="shared" si="16"/>
        <v>3054669.5785</v>
      </c>
      <c r="M108" s="18">
        <f t="shared" si="16"/>
        <v>3084233.043</v>
      </c>
      <c r="N108" s="18">
        <f t="shared" si="16"/>
        <v>3099673.359</v>
      </c>
      <c r="O108" s="18">
        <f t="shared" si="16"/>
        <v>3098867.58</v>
      </c>
      <c r="P108" s="18">
        <f t="shared" si="16"/>
        <v>3118587.349</v>
      </c>
      <c r="Q108" s="18">
        <f t="shared" si="16"/>
        <v>3143607.1296999995</v>
      </c>
      <c r="R108" s="18">
        <f t="shared" si="16"/>
        <v>3156257.0562</v>
      </c>
      <c r="S108" s="18">
        <f t="shared" si="16"/>
        <v>3167138.6602000003</v>
      </c>
      <c r="T108" s="18">
        <f t="shared" si="16"/>
        <v>3161711.1554</v>
      </c>
      <c r="U108" s="18">
        <f t="shared" si="16"/>
        <v>3183991.1925999997</v>
      </c>
      <c r="V108" s="18">
        <f t="shared" si="16"/>
        <v>3181635.4482</v>
      </c>
      <c r="W108" s="18">
        <f t="shared" si="16"/>
        <v>3157710.2869999995</v>
      </c>
      <c r="X108" s="18">
        <f t="shared" si="16"/>
        <v>3179151.8565</v>
      </c>
    </row>
    <row r="109" spans="2:24" s="14" customFormat="1" ht="13.5" thickBot="1">
      <c r="B109" s="19" t="s">
        <v>37</v>
      </c>
      <c r="C109" s="20">
        <f>SUM(C97:C99)</f>
        <v>1366596.6694999998</v>
      </c>
      <c r="D109" s="20">
        <f aca="true" t="shared" si="17" ref="D109:X109">SUM(D97:D99)</f>
        <v>1396061.427</v>
      </c>
      <c r="E109" s="20">
        <f t="shared" si="17"/>
        <v>1393079.3560000001</v>
      </c>
      <c r="F109" s="20">
        <f t="shared" si="17"/>
        <v>1395253.9309999999</v>
      </c>
      <c r="G109" s="20">
        <f t="shared" si="17"/>
        <v>1403943.2534999999</v>
      </c>
      <c r="H109" s="20">
        <f t="shared" si="17"/>
        <v>1410505.3590000002</v>
      </c>
      <c r="I109" s="20">
        <f t="shared" si="17"/>
        <v>1413177.7635</v>
      </c>
      <c r="J109" s="20">
        <f t="shared" si="17"/>
        <v>1416496.1945</v>
      </c>
      <c r="K109" s="20">
        <f t="shared" si="17"/>
        <v>1417942.199</v>
      </c>
      <c r="L109" s="20">
        <f t="shared" si="17"/>
        <v>1417506.4594999999</v>
      </c>
      <c r="M109" s="20">
        <f t="shared" si="17"/>
        <v>1420900.799</v>
      </c>
      <c r="N109" s="20">
        <f t="shared" si="17"/>
        <v>1414409.338</v>
      </c>
      <c r="O109" s="20">
        <f t="shared" si="17"/>
        <v>1401034.2425000002</v>
      </c>
      <c r="P109" s="20">
        <f t="shared" si="17"/>
        <v>1395902.824</v>
      </c>
      <c r="Q109" s="20">
        <f t="shared" si="17"/>
        <v>1397823.3175</v>
      </c>
      <c r="R109" s="20">
        <f t="shared" si="17"/>
        <v>1393478.8135</v>
      </c>
      <c r="S109" s="20">
        <f t="shared" si="17"/>
        <v>1381508.138</v>
      </c>
      <c r="T109" s="20">
        <f t="shared" si="17"/>
        <v>1362605.8572000002</v>
      </c>
      <c r="U109" s="20">
        <f t="shared" si="17"/>
        <v>1354129.4723</v>
      </c>
      <c r="V109" s="20">
        <f t="shared" si="17"/>
        <v>1335235.1227999998</v>
      </c>
      <c r="W109" s="20">
        <f t="shared" si="17"/>
        <v>1309118.1511</v>
      </c>
      <c r="X109" s="20">
        <f t="shared" si="17"/>
        <v>1300918.452</v>
      </c>
    </row>
    <row r="110" spans="2:24" s="14" customFormat="1" ht="14.25" thickBot="1" thickTop="1">
      <c r="B110" s="59" t="s">
        <v>68</v>
      </c>
      <c r="C110" s="60">
        <f>C97+C98+C100+C101+C102</f>
        <v>2471994.121</v>
      </c>
      <c r="D110" s="60">
        <f aca="true" t="shared" si="18" ref="D110:X110">D97+D98+D100+D101+D102</f>
        <v>2533229.1395</v>
      </c>
      <c r="E110" s="60">
        <f t="shared" si="18"/>
        <v>2538880.5480000004</v>
      </c>
      <c r="F110" s="60">
        <f t="shared" si="18"/>
        <v>2553681.597</v>
      </c>
      <c r="G110" s="60">
        <f t="shared" si="18"/>
        <v>2580075.0524999998</v>
      </c>
      <c r="H110" s="60">
        <f t="shared" si="18"/>
        <v>2600493.262</v>
      </c>
      <c r="I110" s="60">
        <f t="shared" si="18"/>
        <v>2613563.657</v>
      </c>
      <c r="J110" s="60">
        <f t="shared" si="18"/>
        <v>2628200.2145000002</v>
      </c>
      <c r="K110" s="60">
        <f t="shared" si="18"/>
        <v>2639260.7794999997</v>
      </c>
      <c r="L110" s="60">
        <f t="shared" si="18"/>
        <v>2648423.7019999996</v>
      </c>
      <c r="M110" s="60">
        <f t="shared" si="18"/>
        <v>2663962.2215</v>
      </c>
      <c r="N110" s="60">
        <f t="shared" si="18"/>
        <v>2663449.2585</v>
      </c>
      <c r="O110" s="60">
        <f t="shared" si="18"/>
        <v>2651110.7365</v>
      </c>
      <c r="P110" s="60">
        <f t="shared" si="18"/>
        <v>2654478.268</v>
      </c>
      <c r="Q110" s="60">
        <f t="shared" si="18"/>
        <v>2661466.6144999997</v>
      </c>
      <c r="R110" s="60">
        <f t="shared" si="18"/>
        <v>2659205.4203</v>
      </c>
      <c r="S110" s="60">
        <f t="shared" si="18"/>
        <v>2652580.0271</v>
      </c>
      <c r="T110" s="60">
        <f t="shared" si="18"/>
        <v>2632298.5878000003</v>
      </c>
      <c r="U110" s="60">
        <f t="shared" si="18"/>
        <v>2635373.466</v>
      </c>
      <c r="V110" s="60">
        <f t="shared" si="18"/>
        <v>2617193.2049</v>
      </c>
      <c r="W110" s="60">
        <f t="shared" si="18"/>
        <v>2579242.7629</v>
      </c>
      <c r="X110" s="60">
        <f t="shared" si="18"/>
        <v>2578011.1486000004</v>
      </c>
    </row>
    <row r="111" spans="2:24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2:24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2:3" ht="12.75">
      <c r="B113" s="17"/>
      <c r="C113" s="16"/>
    </row>
    <row r="114" spans="2:24" ht="13.5" thickBot="1">
      <c r="B114" s="11" t="s">
        <v>0</v>
      </c>
      <c r="C114" s="12">
        <v>38443</v>
      </c>
      <c r="D114" s="12">
        <v>38473</v>
      </c>
      <c r="E114" s="12">
        <v>38504</v>
      </c>
      <c r="F114" s="12">
        <v>38534</v>
      </c>
      <c r="G114" s="12">
        <v>38565</v>
      </c>
      <c r="H114" s="12">
        <v>38596</v>
      </c>
      <c r="I114" s="12">
        <v>38626</v>
      </c>
      <c r="J114" s="12">
        <v>38657</v>
      </c>
      <c r="K114" s="12">
        <v>38687</v>
      </c>
      <c r="L114" s="12">
        <v>38718</v>
      </c>
      <c r="M114" s="12">
        <v>38749</v>
      </c>
      <c r="N114" s="12">
        <v>38777</v>
      </c>
      <c r="O114" s="12">
        <v>38808</v>
      </c>
      <c r="P114" s="12">
        <v>38838</v>
      </c>
      <c r="Q114" s="12">
        <v>38869</v>
      </c>
      <c r="R114" s="12">
        <v>38899</v>
      </c>
      <c r="S114" s="12">
        <v>38930</v>
      </c>
      <c r="T114" s="12">
        <v>38961</v>
      </c>
      <c r="U114" s="12">
        <v>38991</v>
      </c>
      <c r="V114" s="12">
        <v>39022</v>
      </c>
      <c r="W114" s="12">
        <v>39052</v>
      </c>
      <c r="X114" s="12">
        <v>39083</v>
      </c>
    </row>
    <row r="115" spans="2:24" ht="13.5" thickTop="1">
      <c r="B115" s="7" t="s">
        <v>27</v>
      </c>
      <c r="C115" s="10">
        <f aca="true" t="shared" si="19" ref="C115:Q115">C97/C$108</f>
        <v>0.15248507295635294</v>
      </c>
      <c r="D115" s="10">
        <f t="shared" si="19"/>
        <v>0.1508847781673376</v>
      </c>
      <c r="E115" s="10">
        <f t="shared" si="19"/>
        <v>0.1479607341528199</v>
      </c>
      <c r="F115" s="10">
        <f t="shared" si="19"/>
        <v>0.14553189842139308</v>
      </c>
      <c r="G115" s="10">
        <f t="shared" si="19"/>
        <v>0.14293534020817658</v>
      </c>
      <c r="H115" s="10">
        <f t="shared" si="19"/>
        <v>0.14067047949864123</v>
      </c>
      <c r="I115" s="10">
        <f t="shared" si="19"/>
        <v>0.13884105082528672</v>
      </c>
      <c r="J115" s="10">
        <f t="shared" si="19"/>
        <v>0.13681692712747073</v>
      </c>
      <c r="K115" s="10">
        <f t="shared" si="19"/>
        <v>0.13488990958994176</v>
      </c>
      <c r="L115" s="10">
        <f t="shared" si="19"/>
        <v>0.13307577089880002</v>
      </c>
      <c r="M115" s="10">
        <f t="shared" si="19"/>
        <v>0.13137272162997185</v>
      </c>
      <c r="N115" s="10">
        <f t="shared" si="19"/>
        <v>0.12960493799566186</v>
      </c>
      <c r="O115" s="10">
        <f t="shared" si="19"/>
        <v>0.12787174387748443</v>
      </c>
      <c r="P115" s="10">
        <f t="shared" si="19"/>
        <v>0.1264726308296199</v>
      </c>
      <c r="Q115" s="10">
        <f t="shared" si="19"/>
        <v>0.12571349319267963</v>
      </c>
      <c r="R115" s="10">
        <f aca="true" t="shared" si="20" ref="R115:W125">R97/R$108</f>
        <v>0.1257456365033314</v>
      </c>
      <c r="S115" s="10">
        <f t="shared" si="20"/>
        <v>0.12533652835867082</v>
      </c>
      <c r="T115" s="10">
        <f t="shared" si="20"/>
        <v>0.12547690554288132</v>
      </c>
      <c r="U115" s="10">
        <f t="shared" si="20"/>
        <v>0.12563228046286024</v>
      </c>
      <c r="V115" s="10">
        <f t="shared" si="20"/>
        <v>0.12565295144865682</v>
      </c>
      <c r="W115" s="10">
        <f t="shared" si="20"/>
        <v>0.1256768962098264</v>
      </c>
      <c r="X115" s="10">
        <f aca="true" t="shared" si="21" ref="X115:X127">X97/X$108</f>
        <v>0.12586925100222873</v>
      </c>
    </row>
    <row r="116" spans="2:24" ht="12.75">
      <c r="B116" s="1" t="s">
        <v>28</v>
      </c>
      <c r="C116" s="5">
        <f aca="true" t="shared" si="22" ref="C116:Q116">C98/C$108</f>
        <v>0.3413839916832709</v>
      </c>
      <c r="D116" s="5">
        <f t="shared" si="22"/>
        <v>0.3403780911960043</v>
      </c>
      <c r="E116" s="5">
        <f t="shared" si="22"/>
        <v>0.3398051971429033</v>
      </c>
      <c r="F116" s="5">
        <f t="shared" si="22"/>
        <v>0.338922630859372</v>
      </c>
      <c r="G116" s="5">
        <f t="shared" si="22"/>
        <v>0.3380053626840041</v>
      </c>
      <c r="H116" s="5">
        <f t="shared" si="22"/>
        <v>0.3371381632433035</v>
      </c>
      <c r="I116" s="5">
        <f t="shared" si="22"/>
        <v>0.3356686084918471</v>
      </c>
      <c r="J116" s="5">
        <f t="shared" si="22"/>
        <v>0.33434152587787136</v>
      </c>
      <c r="K116" s="5">
        <f t="shared" si="22"/>
        <v>0.33285689526451034</v>
      </c>
      <c r="L116" s="5">
        <f t="shared" si="22"/>
        <v>0.3309699869392928</v>
      </c>
      <c r="M116" s="5">
        <f t="shared" si="22"/>
        <v>0.329325539230986</v>
      </c>
      <c r="N116" s="5">
        <f t="shared" si="22"/>
        <v>0.3267042191912454</v>
      </c>
      <c r="O116" s="5">
        <f t="shared" si="22"/>
        <v>0.32423994090125013</v>
      </c>
      <c r="P116" s="5">
        <f t="shared" si="22"/>
        <v>0.3211347848958391</v>
      </c>
      <c r="Q116" s="5">
        <f t="shared" si="22"/>
        <v>0.3188483673835078</v>
      </c>
      <c r="R116" s="5">
        <f t="shared" si="20"/>
        <v>0.3155129608482996</v>
      </c>
      <c r="S116" s="5">
        <f t="shared" si="20"/>
        <v>0.3104209041601973</v>
      </c>
      <c r="T116" s="5">
        <f t="shared" si="20"/>
        <v>0.3047382214388603</v>
      </c>
      <c r="U116" s="5">
        <f t="shared" si="20"/>
        <v>0.2983447482542512</v>
      </c>
      <c r="V116" s="5">
        <f t="shared" si="20"/>
        <v>0.2919527980886418</v>
      </c>
      <c r="W116" s="5">
        <f t="shared" si="20"/>
        <v>0.28593835787190447</v>
      </c>
      <c r="X116" s="5">
        <f t="shared" si="21"/>
        <v>0.2793461733777359</v>
      </c>
    </row>
    <row r="117" spans="2:24" ht="12.75">
      <c r="B117" s="1" t="s">
        <v>54</v>
      </c>
      <c r="C117" s="5">
        <f aca="true" t="shared" si="23" ref="C117:Q117">C99/C$108</f>
        <v>0</v>
      </c>
      <c r="D117" s="5">
        <f t="shared" si="23"/>
        <v>0</v>
      </c>
      <c r="E117" s="5">
        <f t="shared" si="23"/>
        <v>0</v>
      </c>
      <c r="F117" s="5">
        <f t="shared" si="23"/>
        <v>0</v>
      </c>
      <c r="G117" s="5">
        <f t="shared" si="23"/>
        <v>0</v>
      </c>
      <c r="H117" s="5">
        <f t="shared" si="23"/>
        <v>0</v>
      </c>
      <c r="I117" s="5">
        <f t="shared" si="23"/>
        <v>0</v>
      </c>
      <c r="J117" s="5">
        <f t="shared" si="23"/>
        <v>0</v>
      </c>
      <c r="K117" s="5">
        <f t="shared" si="23"/>
        <v>0</v>
      </c>
      <c r="L117" s="5">
        <f t="shared" si="23"/>
        <v>0</v>
      </c>
      <c r="M117" s="5">
        <f t="shared" si="23"/>
        <v>0</v>
      </c>
      <c r="N117" s="5">
        <f t="shared" si="23"/>
        <v>0</v>
      </c>
      <c r="O117" s="5">
        <f t="shared" si="23"/>
        <v>0</v>
      </c>
      <c r="P117" s="5">
        <f t="shared" si="23"/>
        <v>0</v>
      </c>
      <c r="Q117" s="5">
        <f t="shared" si="23"/>
        <v>9.399488797704774E-05</v>
      </c>
      <c r="R117" s="5">
        <f t="shared" si="20"/>
        <v>0.00023865356546937387</v>
      </c>
      <c r="S117" s="5">
        <f t="shared" si="20"/>
        <v>0.0004432792973804765</v>
      </c>
      <c r="T117" s="5">
        <f t="shared" si="20"/>
        <v>0.0007558853046769372</v>
      </c>
      <c r="U117" s="5">
        <f t="shared" si="20"/>
        <v>0.0013160673967123084</v>
      </c>
      <c r="V117" s="5">
        <f t="shared" si="20"/>
        <v>0.0020636766238302435</v>
      </c>
      <c r="W117" s="5">
        <f t="shared" si="20"/>
        <v>0.00296304225201392</v>
      </c>
      <c r="X117" s="5">
        <f t="shared" si="21"/>
        <v>0.003987567713722391</v>
      </c>
    </row>
    <row r="118" spans="2:24" ht="12.75">
      <c r="B118" s="1" t="s">
        <v>29</v>
      </c>
      <c r="C118" s="5">
        <f aca="true" t="shared" si="24" ref="C118:C125">C100/C$108</f>
        <v>0.06480172056104029</v>
      </c>
      <c r="D118" s="5">
        <f aca="true" t="shared" si="25" ref="D118:Q118">D100/D$108</f>
        <v>0.06497443384599905</v>
      </c>
      <c r="E118" s="5">
        <f t="shared" si="25"/>
        <v>0.06484368585812823</v>
      </c>
      <c r="F118" s="5">
        <f t="shared" si="25"/>
        <v>0.0648728230731397</v>
      </c>
      <c r="G118" s="5">
        <f t="shared" si="25"/>
        <v>0.0647875127760583</v>
      </c>
      <c r="H118" s="5">
        <f t="shared" si="25"/>
        <v>0.06438538309010698</v>
      </c>
      <c r="I118" s="5">
        <f t="shared" si="25"/>
        <v>0.0641432893199879</v>
      </c>
      <c r="J118" s="5">
        <f t="shared" si="25"/>
        <v>0.06375921745428564</v>
      </c>
      <c r="K118" s="5">
        <f t="shared" si="25"/>
        <v>0.06298741249229539</v>
      </c>
      <c r="L118" s="5">
        <f t="shared" si="25"/>
        <v>0.06271546891630525</v>
      </c>
      <c r="M118" s="5">
        <f t="shared" si="25"/>
        <v>0.06238325162772079</v>
      </c>
      <c r="N118" s="5">
        <f t="shared" si="25"/>
        <v>0.06141466469273867</v>
      </c>
      <c r="O118" s="5">
        <f t="shared" si="25"/>
        <v>0.061030842434383725</v>
      </c>
      <c r="P118" s="5">
        <f t="shared" si="25"/>
        <v>0.059995007374090394</v>
      </c>
      <c r="Q118" s="5">
        <f t="shared" si="25"/>
        <v>0.0592579025667808</v>
      </c>
      <c r="R118" s="5">
        <f t="shared" si="20"/>
        <v>0.05871090177398334</v>
      </c>
      <c r="S118" s="5">
        <f t="shared" si="20"/>
        <v>0.058040319677191504</v>
      </c>
      <c r="T118" s="5">
        <f t="shared" si="20"/>
        <v>0.057577552677157494</v>
      </c>
      <c r="U118" s="5">
        <f t="shared" si="20"/>
        <v>0.05707463042685303</v>
      </c>
      <c r="V118" s="5">
        <f t="shared" si="20"/>
        <v>0.0565872678788065</v>
      </c>
      <c r="W118" s="5">
        <f t="shared" si="20"/>
        <v>0.056534199427650034</v>
      </c>
      <c r="X118" s="5">
        <f t="shared" si="21"/>
        <v>0.05602233596858697</v>
      </c>
    </row>
    <row r="119" spans="2:24" ht="12.75">
      <c r="B119" s="1" t="s">
        <v>30</v>
      </c>
      <c r="C119" s="5">
        <f t="shared" si="24"/>
        <v>0.2976589484280721</v>
      </c>
      <c r="D119" s="5">
        <f aca="true" t="shared" si="26" ref="D119:Q119">D101/D$108</f>
        <v>0.2967724071447324</v>
      </c>
      <c r="E119" s="5">
        <f t="shared" si="26"/>
        <v>0.29656793230543677</v>
      </c>
      <c r="F119" s="5">
        <f t="shared" si="26"/>
        <v>0.2966721258001949</v>
      </c>
      <c r="G119" s="5">
        <f t="shared" si="26"/>
        <v>0.29673796934860097</v>
      </c>
      <c r="H119" s="5">
        <f t="shared" si="26"/>
        <v>0.2965721459518138</v>
      </c>
      <c r="I119" s="5">
        <f t="shared" si="26"/>
        <v>0.29596529485832296</v>
      </c>
      <c r="J119" s="5">
        <f t="shared" si="26"/>
        <v>0.29495590726112725</v>
      </c>
      <c r="K119" s="5">
        <f t="shared" si="26"/>
        <v>0.29416480442134574</v>
      </c>
      <c r="L119" s="5">
        <f t="shared" si="26"/>
        <v>0.2929908698797748</v>
      </c>
      <c r="M119" s="5">
        <f t="shared" si="26"/>
        <v>0.2919324253215972</v>
      </c>
      <c r="N119" s="5">
        <f t="shared" si="26"/>
        <v>0.2906040753889642</v>
      </c>
      <c r="O119" s="5">
        <f t="shared" si="26"/>
        <v>0.28921251081661253</v>
      </c>
      <c r="P119" s="5">
        <f t="shared" si="26"/>
        <v>0.28791630440876265</v>
      </c>
      <c r="Q119" s="5">
        <f t="shared" si="26"/>
        <v>0.28405080331562155</v>
      </c>
      <c r="R119" s="5">
        <f t="shared" si="20"/>
        <v>0.28090007648724924</v>
      </c>
      <c r="S119" s="5">
        <f t="shared" si="20"/>
        <v>0.27819887082062905</v>
      </c>
      <c r="T119" s="5">
        <f t="shared" si="20"/>
        <v>0.2756538064874995</v>
      </c>
      <c r="U119" s="5">
        <f t="shared" si="20"/>
        <v>0.2732428153136846</v>
      </c>
      <c r="V119" s="5">
        <f t="shared" si="20"/>
        <v>0.27087705805125434</v>
      </c>
      <c r="W119" s="5">
        <f t="shared" si="20"/>
        <v>0.26689518198348894</v>
      </c>
      <c r="X119" s="5">
        <f t="shared" si="21"/>
        <v>0.26325605302207744</v>
      </c>
    </row>
    <row r="120" spans="2:24" ht="12.75">
      <c r="B120" s="1" t="s">
        <v>31</v>
      </c>
      <c r="C120" s="5">
        <f t="shared" si="24"/>
        <v>0.037014624351875094</v>
      </c>
      <c r="D120" s="5">
        <f aca="true" t="shared" si="27" ref="D120:Q120">D102/D$108</f>
        <v>0.03841339736681608</v>
      </c>
      <c r="E120" s="5">
        <f t="shared" si="27"/>
        <v>0.03977355703016583</v>
      </c>
      <c r="F120" s="5">
        <f t="shared" si="27"/>
        <v>0.040679705126113824</v>
      </c>
      <c r="G120" s="5">
        <f t="shared" si="27"/>
        <v>0.04137517122778409</v>
      </c>
      <c r="H120" s="5">
        <f t="shared" si="27"/>
        <v>0.04215083292479395</v>
      </c>
      <c r="I120" s="5">
        <f t="shared" si="27"/>
        <v>0.04295090068300634</v>
      </c>
      <c r="J120" s="5">
        <f t="shared" si="27"/>
        <v>0.044324850810306064</v>
      </c>
      <c r="K120" s="5">
        <f t="shared" si="27"/>
        <v>0.04573293887136556</v>
      </c>
      <c r="L120" s="5">
        <f t="shared" si="27"/>
        <v>0.0472561456453448</v>
      </c>
      <c r="M120" s="5">
        <f t="shared" si="27"/>
        <v>0.0487217735835664</v>
      </c>
      <c r="N120" s="5">
        <f t="shared" si="27"/>
        <v>0.05093982226918897</v>
      </c>
      <c r="O120" s="5">
        <f t="shared" si="27"/>
        <v>0.05315448861483781</v>
      </c>
      <c r="P120" s="5">
        <f t="shared" si="27"/>
        <v>0.055660980140787464</v>
      </c>
      <c r="Q120" s="5">
        <f t="shared" si="27"/>
        <v>0.05875768722971033</v>
      </c>
      <c r="R120" s="5">
        <f t="shared" si="20"/>
        <v>0.06164907003305569</v>
      </c>
      <c r="S120" s="5">
        <f t="shared" si="20"/>
        <v>0.06553539300577793</v>
      </c>
      <c r="T120" s="5">
        <f t="shared" si="20"/>
        <v>0.06910856345204518</v>
      </c>
      <c r="U120" s="5">
        <f t="shared" si="20"/>
        <v>0.07340048654756447</v>
      </c>
      <c r="V120" s="5">
        <f t="shared" si="20"/>
        <v>0.07752360237862653</v>
      </c>
      <c r="W120" s="5">
        <f t="shared" si="20"/>
        <v>0.08176328178773166</v>
      </c>
      <c r="X120" s="5">
        <f t="shared" si="21"/>
        <v>0.08641779606667241</v>
      </c>
    </row>
    <row r="121" spans="2:24" ht="12.75">
      <c r="B121" s="1" t="s">
        <v>32</v>
      </c>
      <c r="C121" s="5">
        <f t="shared" si="24"/>
        <v>0.0053234598208198695</v>
      </c>
      <c r="D121" s="5">
        <f aca="true" t="shared" si="28" ref="D121:Q121">D103/D$108</f>
        <v>0.0082440833851688</v>
      </c>
      <c r="E121" s="5">
        <f t="shared" si="28"/>
        <v>0.011334989520160753</v>
      </c>
      <c r="F121" s="5">
        <f t="shared" si="28"/>
        <v>0.014576691905572384</v>
      </c>
      <c r="G121" s="5">
        <f t="shared" si="28"/>
        <v>0.017887702609090946</v>
      </c>
      <c r="H121" s="5">
        <f t="shared" si="28"/>
        <v>0.021454539411800373</v>
      </c>
      <c r="I121" s="5">
        <f t="shared" si="28"/>
        <v>0.025224734909435418</v>
      </c>
      <c r="J121" s="5">
        <f t="shared" si="28"/>
        <v>0.029167440588359787</v>
      </c>
      <c r="K121" s="5">
        <f t="shared" si="28"/>
        <v>0.03341177171030081</v>
      </c>
      <c r="L121" s="5">
        <f t="shared" si="28"/>
        <v>0.03746823970931821</v>
      </c>
      <c r="M121" s="5">
        <f t="shared" si="28"/>
        <v>0.040881870708885985</v>
      </c>
      <c r="N121" s="5">
        <f t="shared" si="28"/>
        <v>0.044080024949493396</v>
      </c>
      <c r="O121" s="5">
        <f t="shared" si="28"/>
        <v>0.04681727203716139</v>
      </c>
      <c r="P121" s="5">
        <f t="shared" si="28"/>
        <v>0.04894843960325448</v>
      </c>
      <c r="Q121" s="5">
        <f t="shared" si="28"/>
        <v>0.05121356704499016</v>
      </c>
      <c r="R121" s="5">
        <f t="shared" si="20"/>
        <v>0.05302422997241298</v>
      </c>
      <c r="S121" s="5">
        <f t="shared" si="20"/>
        <v>0.055201426352757064</v>
      </c>
      <c r="T121" s="5">
        <f t="shared" si="20"/>
        <v>0.05682567276683114</v>
      </c>
      <c r="U121" s="5">
        <f t="shared" si="20"/>
        <v>0.05827975935714592</v>
      </c>
      <c r="V121" s="5">
        <f t="shared" si="20"/>
        <v>0.059578394220884456</v>
      </c>
      <c r="W121" s="5">
        <f t="shared" si="20"/>
        <v>0.0607198021900101</v>
      </c>
      <c r="X121" s="5">
        <f t="shared" si="21"/>
        <v>0.061604347587099914</v>
      </c>
    </row>
    <row r="122" spans="2:24" ht="12.75">
      <c r="B122" s="1" t="s">
        <v>33</v>
      </c>
      <c r="C122" s="5">
        <f t="shared" si="24"/>
        <v>0</v>
      </c>
      <c r="D122" s="5">
        <f aca="true" t="shared" si="29" ref="D122:Q122">D104/D$108</f>
        <v>0</v>
      </c>
      <c r="E122" s="5">
        <f t="shared" si="29"/>
        <v>0</v>
      </c>
      <c r="F122" s="5">
        <f t="shared" si="29"/>
        <v>0</v>
      </c>
      <c r="G122" s="5">
        <f t="shared" si="29"/>
        <v>0</v>
      </c>
      <c r="H122" s="5">
        <f t="shared" si="29"/>
        <v>0</v>
      </c>
      <c r="I122" s="5">
        <f t="shared" si="29"/>
        <v>0</v>
      </c>
      <c r="J122" s="5">
        <f t="shared" si="29"/>
        <v>0</v>
      </c>
      <c r="K122" s="5">
        <f t="shared" si="29"/>
        <v>0</v>
      </c>
      <c r="L122" s="5">
        <f t="shared" si="29"/>
        <v>0.0001242769439522868</v>
      </c>
      <c r="M122" s="5">
        <f t="shared" si="29"/>
        <v>0.0008489634095396078</v>
      </c>
      <c r="N122" s="5">
        <f t="shared" si="29"/>
        <v>0.0026987575886701677</v>
      </c>
      <c r="O122" s="5">
        <f t="shared" si="29"/>
        <v>0.004727029994615</v>
      </c>
      <c r="P122" s="5">
        <f t="shared" si="29"/>
        <v>0.00827363421719569</v>
      </c>
      <c r="Q122" s="5">
        <f t="shared" si="29"/>
        <v>0.011880309612214202</v>
      </c>
      <c r="R122" s="5">
        <f t="shared" si="20"/>
        <v>0.015431562807701077</v>
      </c>
      <c r="S122" s="5">
        <f t="shared" si="20"/>
        <v>0.019565142119823378</v>
      </c>
      <c r="T122" s="5">
        <f t="shared" si="20"/>
        <v>0.024020323890210606</v>
      </c>
      <c r="U122" s="5">
        <f t="shared" si="20"/>
        <v>0.028488576604990455</v>
      </c>
      <c r="V122" s="5">
        <f t="shared" si="20"/>
        <v>0.03327958646547745</v>
      </c>
      <c r="W122" s="5">
        <f t="shared" si="20"/>
        <v>0.0386565054756716</v>
      </c>
      <c r="X122" s="5">
        <f t="shared" si="21"/>
        <v>0.044263813542685986</v>
      </c>
    </row>
    <row r="123" spans="2:24" ht="12.75">
      <c r="B123" s="1" t="s">
        <v>34</v>
      </c>
      <c r="C123" s="5">
        <f t="shared" si="24"/>
        <v>0.0012674418270957307</v>
      </c>
      <c r="D123" s="5">
        <f aca="true" t="shared" si="30" ref="D123:Q123">D105/D$108</f>
        <v>0.0011911481385433794</v>
      </c>
      <c r="E123" s="5">
        <f t="shared" si="30"/>
        <v>0.0011821911326233463</v>
      </c>
      <c r="F123" s="5">
        <f t="shared" si="30"/>
        <v>0.0011582647567223315</v>
      </c>
      <c r="G123" s="5">
        <f t="shared" si="30"/>
        <v>0.0011566289819956164</v>
      </c>
      <c r="H123" s="5">
        <f t="shared" si="30"/>
        <v>0.0011298151474005039</v>
      </c>
      <c r="I123" s="5">
        <f t="shared" si="30"/>
        <v>0.0011481373664712286</v>
      </c>
      <c r="J123" s="5">
        <f t="shared" si="30"/>
        <v>0.0011547175070659276</v>
      </c>
      <c r="K123" s="5">
        <f t="shared" si="30"/>
        <v>0.0011520736954746939</v>
      </c>
      <c r="L123" s="5">
        <f t="shared" si="30"/>
        <v>0.0011800929388147243</v>
      </c>
      <c r="M123" s="5">
        <f t="shared" si="30"/>
        <v>0.0011673877913252096</v>
      </c>
      <c r="N123" s="5">
        <f t="shared" si="30"/>
        <v>0.001158799519817404</v>
      </c>
      <c r="O123" s="5">
        <f t="shared" si="30"/>
        <v>0.0011591008351508844</v>
      </c>
      <c r="P123" s="5">
        <f t="shared" si="30"/>
        <v>0.001158465547280074</v>
      </c>
      <c r="Q123" s="5">
        <f t="shared" si="30"/>
        <v>0.00117619913922032</v>
      </c>
      <c r="R123" s="5">
        <f t="shared" si="20"/>
        <v>0.0011652599691699345</v>
      </c>
      <c r="S123" s="5">
        <f t="shared" si="20"/>
        <v>0.0011598993268479188</v>
      </c>
      <c r="T123" s="5">
        <f t="shared" si="20"/>
        <v>0.0011733481705512281</v>
      </c>
      <c r="U123" s="5">
        <f t="shared" si="20"/>
        <v>0.0011653304847775478</v>
      </c>
      <c r="V123" s="5">
        <f t="shared" si="20"/>
        <v>0.001181245953909095</v>
      </c>
      <c r="W123" s="5">
        <f t="shared" si="20"/>
        <v>0.0011849459449792775</v>
      </c>
      <c r="X123" s="5">
        <f t="shared" si="21"/>
        <v>0.0011844863567309117</v>
      </c>
    </row>
    <row r="124" spans="2:24" ht="12.75">
      <c r="B124" s="1" t="s">
        <v>35</v>
      </c>
      <c r="C124" s="5">
        <f t="shared" si="24"/>
        <v>0.10006474037147305</v>
      </c>
      <c r="D124" s="5">
        <f aca="true" t="shared" si="31" ref="D124:Q125">D106/D$108</f>
        <v>0.09914166075539836</v>
      </c>
      <c r="E124" s="5">
        <f t="shared" si="31"/>
        <v>0.09853171285776158</v>
      </c>
      <c r="F124" s="5">
        <f t="shared" si="31"/>
        <v>0.09758586005749162</v>
      </c>
      <c r="G124" s="5">
        <f t="shared" si="31"/>
        <v>0.09711431216428942</v>
      </c>
      <c r="H124" s="5">
        <f t="shared" si="31"/>
        <v>0.09649864073213953</v>
      </c>
      <c r="I124" s="5">
        <f t="shared" si="31"/>
        <v>0.0960579835456422</v>
      </c>
      <c r="J124" s="5">
        <f t="shared" si="31"/>
        <v>0.09547941337351318</v>
      </c>
      <c r="K124" s="5">
        <f t="shared" si="31"/>
        <v>0.0948041939547658</v>
      </c>
      <c r="L124" s="5">
        <f t="shared" si="31"/>
        <v>0.09421914812839717</v>
      </c>
      <c r="M124" s="5">
        <f t="shared" si="31"/>
        <v>0.09336606669640689</v>
      </c>
      <c r="N124" s="5">
        <f t="shared" si="31"/>
        <v>0.09279469840421983</v>
      </c>
      <c r="O124" s="5">
        <f t="shared" si="31"/>
        <v>0.09178707048850407</v>
      </c>
      <c r="P124" s="5">
        <f t="shared" si="31"/>
        <v>0.09043975298317034</v>
      </c>
      <c r="Q124" s="5">
        <f t="shared" si="31"/>
        <v>0.08900767562729835</v>
      </c>
      <c r="R124" s="5">
        <f t="shared" si="20"/>
        <v>0.0876216480393274</v>
      </c>
      <c r="S124" s="5">
        <f t="shared" si="20"/>
        <v>0.08609823688072447</v>
      </c>
      <c r="T124" s="5">
        <f t="shared" si="20"/>
        <v>0.08466972026928629</v>
      </c>
      <c r="U124" s="5">
        <f t="shared" si="20"/>
        <v>0.08305530515116037</v>
      </c>
      <c r="V124" s="5">
        <f t="shared" si="20"/>
        <v>0.08130341888991278</v>
      </c>
      <c r="W124" s="5">
        <f t="shared" si="20"/>
        <v>0.07966778685672378</v>
      </c>
      <c r="X124" s="5">
        <f t="shared" si="21"/>
        <v>0.07803085093050822</v>
      </c>
    </row>
    <row r="125" spans="2:24" ht="13.5" thickBot="1">
      <c r="B125" s="88" t="s">
        <v>109</v>
      </c>
      <c r="C125" s="89">
        <f t="shared" si="24"/>
        <v>0</v>
      </c>
      <c r="D125" s="89">
        <f t="shared" si="31"/>
        <v>0</v>
      </c>
      <c r="E125" s="89">
        <f t="shared" si="31"/>
        <v>0</v>
      </c>
      <c r="F125" s="89">
        <f t="shared" si="31"/>
        <v>0</v>
      </c>
      <c r="G125" s="89">
        <f t="shared" si="31"/>
        <v>0</v>
      </c>
      <c r="H125" s="89">
        <f t="shared" si="31"/>
        <v>0</v>
      </c>
      <c r="I125" s="89">
        <f t="shared" si="31"/>
        <v>0</v>
      </c>
      <c r="J125" s="89">
        <f t="shared" si="31"/>
        <v>0</v>
      </c>
      <c r="K125" s="89">
        <f t="shared" si="31"/>
        <v>0</v>
      </c>
      <c r="L125" s="89">
        <f t="shared" si="31"/>
        <v>0</v>
      </c>
      <c r="M125" s="89">
        <f t="shared" si="31"/>
        <v>0</v>
      </c>
      <c r="N125" s="89">
        <f t="shared" si="31"/>
        <v>0</v>
      </c>
      <c r="O125" s="89">
        <f t="shared" si="31"/>
        <v>0</v>
      </c>
      <c r="P125" s="89">
        <f t="shared" si="31"/>
        <v>0</v>
      </c>
      <c r="Q125" s="89">
        <f t="shared" si="31"/>
        <v>0</v>
      </c>
      <c r="R125" s="89">
        <f t="shared" si="20"/>
        <v>0</v>
      </c>
      <c r="S125" s="89">
        <f t="shared" si="20"/>
        <v>0</v>
      </c>
      <c r="T125" s="89">
        <f t="shared" si="20"/>
        <v>0</v>
      </c>
      <c r="U125" s="89">
        <f t="shared" si="20"/>
        <v>0</v>
      </c>
      <c r="V125" s="89">
        <f t="shared" si="20"/>
        <v>0</v>
      </c>
      <c r="W125" s="89">
        <f t="shared" si="20"/>
        <v>0</v>
      </c>
      <c r="X125" s="89">
        <f t="shared" si="21"/>
        <v>1.732443195105361E-05</v>
      </c>
    </row>
    <row r="126" spans="2:24" ht="13.5" thickTop="1">
      <c r="B126" s="3" t="s">
        <v>36</v>
      </c>
      <c r="C126" s="6">
        <f>C108/C$108</f>
        <v>1</v>
      </c>
      <c r="D126" s="6">
        <f aca="true" t="shared" si="32" ref="D126:P126">D108/D$108</f>
        <v>1</v>
      </c>
      <c r="E126" s="6">
        <f t="shared" si="32"/>
        <v>1</v>
      </c>
      <c r="F126" s="6">
        <f t="shared" si="32"/>
        <v>1</v>
      </c>
      <c r="G126" s="6">
        <f t="shared" si="32"/>
        <v>1</v>
      </c>
      <c r="H126" s="6">
        <f t="shared" si="32"/>
        <v>1</v>
      </c>
      <c r="I126" s="6">
        <f t="shared" si="32"/>
        <v>1</v>
      </c>
      <c r="J126" s="6">
        <f t="shared" si="32"/>
        <v>1</v>
      </c>
      <c r="K126" s="6">
        <f t="shared" si="32"/>
        <v>1</v>
      </c>
      <c r="L126" s="6">
        <f t="shared" si="32"/>
        <v>1</v>
      </c>
      <c r="M126" s="6">
        <f t="shared" si="32"/>
        <v>1</v>
      </c>
      <c r="N126" s="6">
        <f t="shared" si="32"/>
        <v>1</v>
      </c>
      <c r="O126" s="6">
        <f t="shared" si="32"/>
        <v>1</v>
      </c>
      <c r="P126" s="6">
        <f t="shared" si="32"/>
        <v>1</v>
      </c>
      <c r="Q126" s="6">
        <f aca="true" t="shared" si="33" ref="Q126:W127">Q108/Q$108</f>
        <v>1</v>
      </c>
      <c r="R126" s="6">
        <f t="shared" si="33"/>
        <v>1</v>
      </c>
      <c r="S126" s="6">
        <f t="shared" si="33"/>
        <v>1</v>
      </c>
      <c r="T126" s="6">
        <f t="shared" si="33"/>
        <v>1</v>
      </c>
      <c r="U126" s="6">
        <f t="shared" si="33"/>
        <v>1</v>
      </c>
      <c r="V126" s="6">
        <f t="shared" si="33"/>
        <v>1</v>
      </c>
      <c r="W126" s="6">
        <f t="shared" si="33"/>
        <v>1</v>
      </c>
      <c r="X126" s="6">
        <f t="shared" si="21"/>
        <v>1</v>
      </c>
    </row>
    <row r="127" spans="2:24" ht="12.75">
      <c r="B127" s="62" t="s">
        <v>37</v>
      </c>
      <c r="C127" s="63">
        <f>C109/C$108</f>
        <v>0.4938690646396238</v>
      </c>
      <c r="D127" s="63">
        <f aca="true" t="shared" si="34" ref="D127:P127">D109/D$108</f>
        <v>0.4912628693633419</v>
      </c>
      <c r="E127" s="63">
        <f t="shared" si="34"/>
        <v>0.48776593129572327</v>
      </c>
      <c r="F127" s="63">
        <f t="shared" si="34"/>
        <v>0.48445452928076504</v>
      </c>
      <c r="G127" s="63">
        <f t="shared" si="34"/>
        <v>0.4809407028921807</v>
      </c>
      <c r="H127" s="63">
        <f t="shared" si="34"/>
        <v>0.4778086427419448</v>
      </c>
      <c r="I127" s="63">
        <f t="shared" si="34"/>
        <v>0.47450965931713385</v>
      </c>
      <c r="J127" s="63">
        <f t="shared" si="34"/>
        <v>0.4711584530053421</v>
      </c>
      <c r="K127" s="63">
        <f t="shared" si="34"/>
        <v>0.46774680485445214</v>
      </c>
      <c r="L127" s="63">
        <f t="shared" si="34"/>
        <v>0.46404575783809277</v>
      </c>
      <c r="M127" s="63">
        <f t="shared" si="34"/>
        <v>0.46069826086095794</v>
      </c>
      <c r="N127" s="63">
        <f t="shared" si="34"/>
        <v>0.4563091571869073</v>
      </c>
      <c r="O127" s="63">
        <f t="shared" si="34"/>
        <v>0.4521116847787346</v>
      </c>
      <c r="P127" s="63">
        <f t="shared" si="34"/>
        <v>0.447607415725459</v>
      </c>
      <c r="Q127" s="63">
        <f t="shared" si="33"/>
        <v>0.4446558554641645</v>
      </c>
      <c r="R127" s="63">
        <f t="shared" si="33"/>
        <v>0.44149725091710035</v>
      </c>
      <c r="S127" s="63">
        <f t="shared" si="33"/>
        <v>0.4362007118162486</v>
      </c>
      <c r="T127" s="63">
        <f t="shared" si="33"/>
        <v>0.4309710122864186</v>
      </c>
      <c r="U127" s="63">
        <f t="shared" si="33"/>
        <v>0.42529309611382377</v>
      </c>
      <c r="V127" s="63">
        <f t="shared" si="33"/>
        <v>0.4196694261611288</v>
      </c>
      <c r="W127" s="63">
        <f t="shared" si="33"/>
        <v>0.4145782963337447</v>
      </c>
      <c r="X127" s="63">
        <f t="shared" si="21"/>
        <v>0.40920299209368705</v>
      </c>
    </row>
    <row r="128" spans="2:24" ht="13.5" thickBot="1">
      <c r="B128" s="59" t="s">
        <v>68</v>
      </c>
      <c r="C128" s="61">
        <f>C110/C108</f>
        <v>0.8933443579806113</v>
      </c>
      <c r="D128" s="61">
        <f aca="true" t="shared" si="35" ref="D128:Q128">D110/D108</f>
        <v>0.8914231077208894</v>
      </c>
      <c r="E128" s="61">
        <f t="shared" si="35"/>
        <v>0.8889511064894542</v>
      </c>
      <c r="F128" s="61">
        <f t="shared" si="35"/>
        <v>0.8866791832802136</v>
      </c>
      <c r="G128" s="61">
        <f t="shared" si="35"/>
        <v>0.883841356244624</v>
      </c>
      <c r="H128" s="61">
        <f t="shared" si="35"/>
        <v>0.8809170047086595</v>
      </c>
      <c r="I128" s="61">
        <f t="shared" si="35"/>
        <v>0.8775691441784511</v>
      </c>
      <c r="J128" s="61">
        <f t="shared" si="35"/>
        <v>0.8741984285310611</v>
      </c>
      <c r="K128" s="61">
        <f t="shared" si="35"/>
        <v>0.8706319606394587</v>
      </c>
      <c r="L128" s="61">
        <f t="shared" si="35"/>
        <v>0.8670082422795176</v>
      </c>
      <c r="M128" s="61">
        <f t="shared" si="35"/>
        <v>0.8637357113938423</v>
      </c>
      <c r="N128" s="61">
        <f t="shared" si="35"/>
        <v>0.8592677195377991</v>
      </c>
      <c r="O128" s="61">
        <f t="shared" si="35"/>
        <v>0.8555095266445687</v>
      </c>
      <c r="P128" s="61">
        <f t="shared" si="35"/>
        <v>0.8511797076490994</v>
      </c>
      <c r="Q128" s="61">
        <f t="shared" si="35"/>
        <v>0.8466282536883</v>
      </c>
      <c r="R128" s="61">
        <f aca="true" t="shared" si="36" ref="R128:W128">R110/R108</f>
        <v>0.8425186456459192</v>
      </c>
      <c r="S128" s="61">
        <f t="shared" si="36"/>
        <v>0.8375320160224666</v>
      </c>
      <c r="T128" s="61">
        <f t="shared" si="36"/>
        <v>0.8325550495984438</v>
      </c>
      <c r="U128" s="61">
        <f t="shared" si="36"/>
        <v>0.8276949610052136</v>
      </c>
      <c r="V128" s="61">
        <f t="shared" si="36"/>
        <v>0.8225936778459859</v>
      </c>
      <c r="W128" s="61">
        <f t="shared" si="36"/>
        <v>0.8168079172806014</v>
      </c>
      <c r="X128" s="61">
        <f>X110/X108</f>
        <v>0.8109116094373016</v>
      </c>
    </row>
    <row r="129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8"/>
  <sheetViews>
    <sheetView workbookViewId="0" topLeftCell="AC109">
      <selection activeCell="AK127" sqref="AK127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71</v>
      </c>
    </row>
    <row r="3" spans="1:35" s="70" customFormat="1" ht="39" thickBot="1">
      <c r="A3" s="72" t="s">
        <v>114</v>
      </c>
      <c r="B3" s="79" t="s">
        <v>0</v>
      </c>
      <c r="C3" s="79" t="s">
        <v>55</v>
      </c>
      <c r="D3" s="79" t="s">
        <v>56</v>
      </c>
      <c r="E3" s="79" t="s">
        <v>57</v>
      </c>
      <c r="F3" s="79" t="s">
        <v>58</v>
      </c>
      <c r="G3" s="79" t="s">
        <v>59</v>
      </c>
      <c r="H3" s="79" t="s">
        <v>60</v>
      </c>
      <c r="I3" s="79" t="s">
        <v>61</v>
      </c>
      <c r="J3" s="79" t="s">
        <v>62</v>
      </c>
      <c r="K3" s="79" t="s">
        <v>63</v>
      </c>
      <c r="L3" s="79" t="s">
        <v>64</v>
      </c>
      <c r="M3" s="79" t="s">
        <v>65</v>
      </c>
      <c r="N3" s="79" t="s">
        <v>38</v>
      </c>
      <c r="O3" s="79" t="s">
        <v>39</v>
      </c>
      <c r="P3" s="79" t="s">
        <v>40</v>
      </c>
      <c r="Q3" s="79" t="s">
        <v>41</v>
      </c>
      <c r="R3" s="79" t="s">
        <v>42</v>
      </c>
      <c r="S3" s="79" t="s">
        <v>43</v>
      </c>
      <c r="T3" s="79" t="s">
        <v>44</v>
      </c>
      <c r="U3" s="79" t="s">
        <v>45</v>
      </c>
      <c r="V3" s="79" t="s">
        <v>46</v>
      </c>
      <c r="W3" s="79" t="s">
        <v>47</v>
      </c>
      <c r="X3" s="79" t="s">
        <v>66</v>
      </c>
      <c r="Y3" s="79" t="s">
        <v>49</v>
      </c>
      <c r="Z3" s="79" t="s">
        <v>50</v>
      </c>
      <c r="AA3" s="79" t="s">
        <v>51</v>
      </c>
      <c r="AB3" s="79" t="s">
        <v>52</v>
      </c>
      <c r="AC3" s="79" t="s">
        <v>69</v>
      </c>
      <c r="AD3" s="79" t="s">
        <v>70</v>
      </c>
      <c r="AE3" s="79" t="s">
        <v>76</v>
      </c>
      <c r="AF3" s="79" t="s">
        <v>77</v>
      </c>
      <c r="AG3" s="79" t="s">
        <v>106</v>
      </c>
      <c r="AH3" s="79" t="s">
        <v>107</v>
      </c>
      <c r="AI3" s="79" t="s">
        <v>110</v>
      </c>
    </row>
    <row r="4" spans="1:35" ht="26.25" thickTop="1">
      <c r="A4" s="103">
        <v>1</v>
      </c>
      <c r="B4" s="80" t="s">
        <v>78</v>
      </c>
      <c r="C4" s="103">
        <v>0</v>
      </c>
      <c r="D4" s="103">
        <v>0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0</v>
      </c>
      <c r="S4" s="103">
        <v>0</v>
      </c>
      <c r="T4" s="103">
        <v>0</v>
      </c>
      <c r="U4" s="103">
        <v>0</v>
      </c>
      <c r="V4" s="103">
        <v>6</v>
      </c>
      <c r="W4" s="103">
        <v>5</v>
      </c>
      <c r="X4" s="103">
        <v>13</v>
      </c>
      <c r="Y4" s="103">
        <v>16</v>
      </c>
      <c r="Z4" s="103">
        <v>15</v>
      </c>
      <c r="AA4" s="103">
        <v>24</v>
      </c>
      <c r="AB4" s="103">
        <v>29</v>
      </c>
      <c r="AC4" s="103">
        <v>31</v>
      </c>
      <c r="AD4" s="103">
        <v>27</v>
      </c>
      <c r="AE4" s="103">
        <v>33</v>
      </c>
      <c r="AF4" s="103">
        <v>30</v>
      </c>
      <c r="AG4" s="103">
        <v>42</v>
      </c>
      <c r="AH4" s="103">
        <v>17</v>
      </c>
      <c r="AI4" s="103">
        <v>42</v>
      </c>
    </row>
    <row r="5" spans="1:35" ht="25.5">
      <c r="A5" s="103">
        <v>2</v>
      </c>
      <c r="B5" s="80" t="s">
        <v>79</v>
      </c>
      <c r="C5" s="103">
        <v>1130</v>
      </c>
      <c r="D5" s="103">
        <v>1350</v>
      </c>
      <c r="E5" s="103">
        <v>1234</v>
      </c>
      <c r="F5" s="103">
        <v>1259</v>
      </c>
      <c r="G5" s="103">
        <v>1225</v>
      </c>
      <c r="H5" s="103">
        <v>1264</v>
      </c>
      <c r="I5" s="103">
        <v>1283</v>
      </c>
      <c r="J5" s="103">
        <v>1295</v>
      </c>
      <c r="K5" s="103">
        <v>1266</v>
      </c>
      <c r="L5" s="103">
        <v>1168</v>
      </c>
      <c r="M5" s="103">
        <v>1336</v>
      </c>
      <c r="N5" s="103">
        <v>1277</v>
      </c>
      <c r="O5" s="103">
        <v>1366</v>
      </c>
      <c r="P5" s="103">
        <v>1302</v>
      </c>
      <c r="Q5" s="103">
        <v>1303</v>
      </c>
      <c r="R5" s="103">
        <v>1413</v>
      </c>
      <c r="S5" s="103">
        <v>1431</v>
      </c>
      <c r="T5" s="103">
        <v>1483</v>
      </c>
      <c r="U5" s="103">
        <v>1493</v>
      </c>
      <c r="V5" s="103">
        <v>1552</v>
      </c>
      <c r="W5" s="103">
        <v>1523</v>
      </c>
      <c r="X5" s="103">
        <v>1455</v>
      </c>
      <c r="Y5" s="103">
        <v>1613</v>
      </c>
      <c r="Z5" s="103">
        <v>1479</v>
      </c>
      <c r="AA5" s="103">
        <v>1605</v>
      </c>
      <c r="AB5" s="103">
        <v>1567</v>
      </c>
      <c r="AC5" s="103">
        <v>1541</v>
      </c>
      <c r="AD5" s="103">
        <v>1553</v>
      </c>
      <c r="AE5" s="103">
        <v>1579</v>
      </c>
      <c r="AF5" s="103">
        <v>1699</v>
      </c>
      <c r="AG5" s="103">
        <v>1617</v>
      </c>
      <c r="AH5" s="103">
        <v>1620</v>
      </c>
      <c r="AI5" s="103">
        <v>1773</v>
      </c>
    </row>
    <row r="6" spans="1:35" ht="25.5">
      <c r="A6" s="103">
        <v>3</v>
      </c>
      <c r="B6" s="80" t="s">
        <v>80</v>
      </c>
      <c r="C6" s="103">
        <v>181</v>
      </c>
      <c r="D6" s="103">
        <v>221</v>
      </c>
      <c r="E6" s="103">
        <v>195</v>
      </c>
      <c r="F6" s="103">
        <v>201</v>
      </c>
      <c r="G6" s="103">
        <v>198</v>
      </c>
      <c r="H6" s="103">
        <v>192</v>
      </c>
      <c r="I6" s="103">
        <v>217</v>
      </c>
      <c r="J6" s="103">
        <v>225</v>
      </c>
      <c r="K6" s="103">
        <v>226</v>
      </c>
      <c r="L6" s="103">
        <v>223</v>
      </c>
      <c r="M6" s="103">
        <v>236</v>
      </c>
      <c r="N6" s="103">
        <v>236</v>
      </c>
      <c r="O6" s="103">
        <v>254</v>
      </c>
      <c r="P6" s="103">
        <v>262</v>
      </c>
      <c r="Q6" s="103">
        <v>248</v>
      </c>
      <c r="R6" s="103">
        <v>271</v>
      </c>
      <c r="S6" s="103">
        <v>264</v>
      </c>
      <c r="T6" s="103">
        <v>280</v>
      </c>
      <c r="U6" s="103">
        <v>295</v>
      </c>
      <c r="V6" s="103">
        <v>309</v>
      </c>
      <c r="W6" s="103">
        <v>297</v>
      </c>
      <c r="X6" s="103">
        <v>283</v>
      </c>
      <c r="Y6" s="103">
        <v>299</v>
      </c>
      <c r="Z6" s="103">
        <v>282</v>
      </c>
      <c r="AA6" s="103">
        <v>311</v>
      </c>
      <c r="AB6" s="103">
        <v>304</v>
      </c>
      <c r="AC6" s="103">
        <v>274</v>
      </c>
      <c r="AD6" s="103">
        <v>295</v>
      </c>
      <c r="AE6" s="103">
        <v>281</v>
      </c>
      <c r="AF6" s="103">
        <v>304</v>
      </c>
      <c r="AG6" s="103">
        <v>297</v>
      </c>
      <c r="AH6" s="103">
        <v>276</v>
      </c>
      <c r="AI6" s="103">
        <v>292</v>
      </c>
    </row>
    <row r="7" spans="1:35" ht="25.5">
      <c r="A7" s="103">
        <v>4</v>
      </c>
      <c r="B7" s="80" t="s">
        <v>81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7</v>
      </c>
      <c r="AF7" s="103">
        <v>6</v>
      </c>
      <c r="AG7" s="103">
        <v>19</v>
      </c>
      <c r="AH7" s="103">
        <v>16</v>
      </c>
      <c r="AI7" s="103">
        <v>25</v>
      </c>
    </row>
    <row r="8" spans="1:35" ht="25.5">
      <c r="A8" s="103">
        <v>5</v>
      </c>
      <c r="B8" s="80" t="s">
        <v>82</v>
      </c>
      <c r="C8" s="103">
        <v>2062</v>
      </c>
      <c r="D8" s="103">
        <v>2368</v>
      </c>
      <c r="E8" s="103">
        <v>2258</v>
      </c>
      <c r="F8" s="103">
        <v>2214</v>
      </c>
      <c r="G8" s="103">
        <v>2262</v>
      </c>
      <c r="H8" s="103">
        <v>2368</v>
      </c>
      <c r="I8" s="103">
        <v>2373</v>
      </c>
      <c r="J8" s="103">
        <v>2387</v>
      </c>
      <c r="K8" s="103">
        <v>2452</v>
      </c>
      <c r="L8" s="103">
        <v>2266</v>
      </c>
      <c r="M8" s="103">
        <v>2558</v>
      </c>
      <c r="N8" s="103">
        <v>2515</v>
      </c>
      <c r="O8" s="103">
        <v>2517</v>
      </c>
      <c r="P8" s="103">
        <v>2411</v>
      </c>
      <c r="Q8" s="103">
        <v>2347</v>
      </c>
      <c r="R8" s="103">
        <v>2399</v>
      </c>
      <c r="S8" s="103">
        <v>2392</v>
      </c>
      <c r="T8" s="103">
        <v>2318</v>
      </c>
      <c r="U8" s="103">
        <v>2367</v>
      </c>
      <c r="V8" s="103">
        <v>2442</v>
      </c>
      <c r="W8" s="103">
        <v>2399</v>
      </c>
      <c r="X8" s="103">
        <v>2313</v>
      </c>
      <c r="Y8" s="103">
        <v>2413</v>
      </c>
      <c r="Z8" s="103">
        <v>2216</v>
      </c>
      <c r="AA8" s="103">
        <v>2317</v>
      </c>
      <c r="AB8" s="103">
        <v>2345</v>
      </c>
      <c r="AC8" s="103">
        <v>2230</v>
      </c>
      <c r="AD8" s="103">
        <v>2330</v>
      </c>
      <c r="AE8" s="103">
        <v>2246</v>
      </c>
      <c r="AF8" s="103">
        <v>2386</v>
      </c>
      <c r="AG8" s="103">
        <v>2314</v>
      </c>
      <c r="AH8" s="103">
        <v>2221</v>
      </c>
      <c r="AI8" s="103">
        <v>2395</v>
      </c>
    </row>
    <row r="9" spans="1:35" ht="25.5">
      <c r="A9" s="103">
        <v>6</v>
      </c>
      <c r="B9" s="80" t="s">
        <v>83</v>
      </c>
      <c r="C9" s="103">
        <v>730</v>
      </c>
      <c r="D9" s="103">
        <v>826</v>
      </c>
      <c r="E9" s="103">
        <v>805</v>
      </c>
      <c r="F9" s="103">
        <v>818</v>
      </c>
      <c r="G9" s="103">
        <v>846</v>
      </c>
      <c r="H9" s="103">
        <v>840</v>
      </c>
      <c r="I9" s="103">
        <v>860</v>
      </c>
      <c r="J9" s="103">
        <v>898</v>
      </c>
      <c r="K9" s="103">
        <v>902</v>
      </c>
      <c r="L9" s="103">
        <v>859</v>
      </c>
      <c r="M9" s="103">
        <v>971</v>
      </c>
      <c r="N9" s="103">
        <v>972</v>
      </c>
      <c r="O9" s="103">
        <v>985</v>
      </c>
      <c r="P9" s="103">
        <v>976</v>
      </c>
      <c r="Q9" s="103">
        <v>921</v>
      </c>
      <c r="R9" s="103">
        <v>967</v>
      </c>
      <c r="S9" s="103">
        <v>968</v>
      </c>
      <c r="T9" s="103">
        <v>967</v>
      </c>
      <c r="U9" s="103">
        <v>960</v>
      </c>
      <c r="V9" s="103">
        <v>967</v>
      </c>
      <c r="W9" s="103">
        <v>972</v>
      </c>
      <c r="X9" s="103">
        <v>932</v>
      </c>
      <c r="Y9" s="103">
        <v>987</v>
      </c>
      <c r="Z9" s="103">
        <v>932</v>
      </c>
      <c r="AA9" s="103">
        <v>948</v>
      </c>
      <c r="AB9" s="103">
        <v>986</v>
      </c>
      <c r="AC9" s="103">
        <v>922</v>
      </c>
      <c r="AD9" s="103">
        <v>982</v>
      </c>
      <c r="AE9" s="103">
        <v>930</v>
      </c>
      <c r="AF9" s="103">
        <v>980</v>
      </c>
      <c r="AG9" s="103">
        <v>920</v>
      </c>
      <c r="AH9" s="103">
        <v>900</v>
      </c>
      <c r="AI9" s="103">
        <v>1010</v>
      </c>
    </row>
    <row r="10" spans="1:35" ht="12.75">
      <c r="A10" s="103">
        <v>7</v>
      </c>
      <c r="B10" s="80" t="s">
        <v>84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10</v>
      </c>
      <c r="AC10" s="103">
        <v>16</v>
      </c>
      <c r="AD10" s="103">
        <v>19</v>
      </c>
      <c r="AE10" s="103">
        <v>34</v>
      </c>
      <c r="AF10" s="103">
        <v>59</v>
      </c>
      <c r="AG10" s="103">
        <v>78</v>
      </c>
      <c r="AH10" s="103">
        <v>95</v>
      </c>
      <c r="AI10" s="103">
        <v>112</v>
      </c>
    </row>
    <row r="11" spans="1:35" ht="25.5">
      <c r="A11" s="103">
        <v>8</v>
      </c>
      <c r="B11" s="80" t="s">
        <v>85</v>
      </c>
      <c r="C11" s="103">
        <v>125</v>
      </c>
      <c r="D11" s="103">
        <v>143</v>
      </c>
      <c r="E11" s="103">
        <v>134</v>
      </c>
      <c r="F11" s="103">
        <v>128</v>
      </c>
      <c r="G11" s="103">
        <v>129</v>
      </c>
      <c r="H11" s="103">
        <v>131</v>
      </c>
      <c r="I11" s="103">
        <v>132</v>
      </c>
      <c r="J11" s="103">
        <v>140</v>
      </c>
      <c r="K11" s="103">
        <v>130</v>
      </c>
      <c r="L11" s="103">
        <v>133</v>
      </c>
      <c r="M11" s="103">
        <v>143</v>
      </c>
      <c r="N11" s="103">
        <v>129</v>
      </c>
      <c r="O11" s="103">
        <v>143</v>
      </c>
      <c r="P11" s="103">
        <v>135</v>
      </c>
      <c r="Q11" s="103">
        <v>125</v>
      </c>
      <c r="R11" s="103">
        <v>124</v>
      </c>
      <c r="S11" s="103">
        <v>131</v>
      </c>
      <c r="T11" s="103">
        <v>132</v>
      </c>
      <c r="U11" s="103">
        <v>136</v>
      </c>
      <c r="V11" s="103">
        <v>149</v>
      </c>
      <c r="W11" s="103">
        <v>148</v>
      </c>
      <c r="X11" s="103">
        <v>135</v>
      </c>
      <c r="Y11" s="103">
        <v>157</v>
      </c>
      <c r="Z11" s="103">
        <v>136</v>
      </c>
      <c r="AA11" s="103">
        <v>148</v>
      </c>
      <c r="AB11" s="103">
        <v>144</v>
      </c>
      <c r="AC11" s="103">
        <v>137</v>
      </c>
      <c r="AD11" s="103">
        <v>133</v>
      </c>
      <c r="AE11" s="103">
        <v>135</v>
      </c>
      <c r="AF11" s="103">
        <v>143</v>
      </c>
      <c r="AG11" s="103">
        <v>129</v>
      </c>
      <c r="AH11" s="103">
        <v>120</v>
      </c>
      <c r="AI11" s="103">
        <v>142</v>
      </c>
    </row>
    <row r="12" spans="1:35" ht="25.5">
      <c r="A12" s="103">
        <v>9</v>
      </c>
      <c r="B12" s="80" t="s">
        <v>86</v>
      </c>
      <c r="C12" s="103">
        <v>270</v>
      </c>
      <c r="D12" s="103">
        <v>299</v>
      </c>
      <c r="E12" s="103">
        <v>268</v>
      </c>
      <c r="F12" s="103">
        <v>273</v>
      </c>
      <c r="G12" s="103">
        <v>286</v>
      </c>
      <c r="H12" s="103">
        <v>299</v>
      </c>
      <c r="I12" s="103">
        <v>311</v>
      </c>
      <c r="J12" s="103">
        <v>338</v>
      </c>
      <c r="K12" s="103">
        <v>334</v>
      </c>
      <c r="L12" s="103">
        <v>315</v>
      </c>
      <c r="M12" s="103">
        <v>355</v>
      </c>
      <c r="N12" s="103">
        <v>335</v>
      </c>
      <c r="O12" s="103">
        <v>374</v>
      </c>
      <c r="P12" s="103">
        <v>335</v>
      </c>
      <c r="Q12" s="103">
        <v>320</v>
      </c>
      <c r="R12" s="103">
        <v>350</v>
      </c>
      <c r="S12" s="103">
        <v>334</v>
      </c>
      <c r="T12" s="103">
        <v>314</v>
      </c>
      <c r="U12" s="103">
        <v>329</v>
      </c>
      <c r="V12" s="103">
        <v>303</v>
      </c>
      <c r="W12" s="103">
        <v>307</v>
      </c>
      <c r="X12" s="103">
        <v>317</v>
      </c>
      <c r="Y12" s="103">
        <v>302</v>
      </c>
      <c r="Z12" s="103">
        <v>287</v>
      </c>
      <c r="AA12" s="103">
        <v>308</v>
      </c>
      <c r="AB12" s="103">
        <v>297</v>
      </c>
      <c r="AC12" s="103">
        <v>275</v>
      </c>
      <c r="AD12" s="103">
        <v>292</v>
      </c>
      <c r="AE12" s="103">
        <v>286</v>
      </c>
      <c r="AF12" s="103">
        <v>308</v>
      </c>
      <c r="AG12" s="103">
        <v>279</v>
      </c>
      <c r="AH12" s="103">
        <v>267</v>
      </c>
      <c r="AI12" s="103">
        <v>278</v>
      </c>
    </row>
    <row r="13" spans="1:35" ht="25.5">
      <c r="A13" s="103">
        <v>10</v>
      </c>
      <c r="B13" s="80" t="s">
        <v>87</v>
      </c>
      <c r="C13" s="103">
        <v>231</v>
      </c>
      <c r="D13" s="103">
        <v>270</v>
      </c>
      <c r="E13" s="103">
        <v>244</v>
      </c>
      <c r="F13" s="103">
        <v>256</v>
      </c>
      <c r="G13" s="103">
        <v>270</v>
      </c>
      <c r="H13" s="103">
        <v>270</v>
      </c>
      <c r="I13" s="103">
        <v>283</v>
      </c>
      <c r="J13" s="103">
        <v>291</v>
      </c>
      <c r="K13" s="103">
        <v>273</v>
      </c>
      <c r="L13" s="103">
        <v>258</v>
      </c>
      <c r="M13" s="103">
        <v>304</v>
      </c>
      <c r="N13" s="103">
        <v>285</v>
      </c>
      <c r="O13" s="103">
        <v>314</v>
      </c>
      <c r="P13" s="103">
        <v>293</v>
      </c>
      <c r="Q13" s="103">
        <v>278</v>
      </c>
      <c r="R13" s="103">
        <v>275</v>
      </c>
      <c r="S13" s="103">
        <v>277</v>
      </c>
      <c r="T13" s="103">
        <v>286</v>
      </c>
      <c r="U13" s="103">
        <v>290</v>
      </c>
      <c r="V13" s="103">
        <v>287</v>
      </c>
      <c r="W13" s="103">
        <v>295</v>
      </c>
      <c r="X13" s="103">
        <v>282</v>
      </c>
      <c r="Y13" s="103">
        <v>286</v>
      </c>
      <c r="Z13" s="103">
        <v>260</v>
      </c>
      <c r="AA13" s="103">
        <v>274</v>
      </c>
      <c r="AB13" s="103">
        <v>279</v>
      </c>
      <c r="AC13" s="103">
        <v>260</v>
      </c>
      <c r="AD13" s="103">
        <v>267</v>
      </c>
      <c r="AE13" s="103">
        <v>244</v>
      </c>
      <c r="AF13" s="103">
        <v>274</v>
      </c>
      <c r="AG13" s="103">
        <v>258</v>
      </c>
      <c r="AH13" s="103">
        <v>261</v>
      </c>
      <c r="AI13" s="103">
        <v>257</v>
      </c>
    </row>
    <row r="14" spans="1:35" ht="12.75">
      <c r="A14" s="103">
        <v>11</v>
      </c>
      <c r="B14" s="80" t="s">
        <v>88</v>
      </c>
      <c r="C14" s="103">
        <v>1144</v>
      </c>
      <c r="D14" s="103">
        <v>1307</v>
      </c>
      <c r="E14" s="103">
        <v>1255</v>
      </c>
      <c r="F14" s="103">
        <v>1206</v>
      </c>
      <c r="G14" s="103">
        <v>1249</v>
      </c>
      <c r="H14" s="103">
        <v>1270</v>
      </c>
      <c r="I14" s="103">
        <v>1340</v>
      </c>
      <c r="J14" s="103">
        <v>1344</v>
      </c>
      <c r="K14" s="103">
        <v>1362</v>
      </c>
      <c r="L14" s="103">
        <v>1296</v>
      </c>
      <c r="M14" s="103">
        <v>1485</v>
      </c>
      <c r="N14" s="103">
        <v>1414</v>
      </c>
      <c r="O14" s="103">
        <v>1506</v>
      </c>
      <c r="P14" s="103">
        <v>1450</v>
      </c>
      <c r="Q14" s="103">
        <v>1386</v>
      </c>
      <c r="R14" s="103">
        <v>1403</v>
      </c>
      <c r="S14" s="103">
        <v>1462</v>
      </c>
      <c r="T14" s="103">
        <v>1421</v>
      </c>
      <c r="U14" s="103">
        <v>1475</v>
      </c>
      <c r="V14" s="103">
        <v>1472</v>
      </c>
      <c r="W14" s="103">
        <v>1426</v>
      </c>
      <c r="X14" s="103">
        <v>1407</v>
      </c>
      <c r="Y14" s="103">
        <v>1464</v>
      </c>
      <c r="Z14" s="103">
        <v>1335</v>
      </c>
      <c r="AA14" s="103">
        <v>1477</v>
      </c>
      <c r="AB14" s="103">
        <v>1449</v>
      </c>
      <c r="AC14" s="103">
        <v>1388</v>
      </c>
      <c r="AD14" s="103">
        <v>1424</v>
      </c>
      <c r="AE14" s="103">
        <v>1363</v>
      </c>
      <c r="AF14" s="103">
        <v>1436</v>
      </c>
      <c r="AG14" s="103">
        <v>1405</v>
      </c>
      <c r="AH14" s="103">
        <v>1363</v>
      </c>
      <c r="AI14" s="103">
        <v>1440</v>
      </c>
    </row>
    <row r="15" spans="1:35" ht="12.75">
      <c r="A15" s="103">
        <v>12</v>
      </c>
      <c r="B15" s="80" t="s">
        <v>89</v>
      </c>
      <c r="C15" s="103">
        <v>438</v>
      </c>
      <c r="D15" s="103">
        <v>501</v>
      </c>
      <c r="E15" s="103">
        <v>448</v>
      </c>
      <c r="F15" s="103">
        <v>484</v>
      </c>
      <c r="G15" s="103">
        <v>496</v>
      </c>
      <c r="H15" s="103">
        <v>506</v>
      </c>
      <c r="I15" s="103">
        <v>526</v>
      </c>
      <c r="J15" s="103">
        <v>568</v>
      </c>
      <c r="K15" s="103">
        <v>528</v>
      </c>
      <c r="L15" s="103">
        <v>501</v>
      </c>
      <c r="M15" s="103">
        <v>564</v>
      </c>
      <c r="N15" s="103">
        <v>546</v>
      </c>
      <c r="O15" s="103">
        <v>568</v>
      </c>
      <c r="P15" s="103">
        <v>564</v>
      </c>
      <c r="Q15" s="103">
        <v>545</v>
      </c>
      <c r="R15" s="103">
        <v>556</v>
      </c>
      <c r="S15" s="103">
        <v>530</v>
      </c>
      <c r="T15" s="103">
        <v>536</v>
      </c>
      <c r="U15" s="103">
        <v>529</v>
      </c>
      <c r="V15" s="103">
        <v>551</v>
      </c>
      <c r="W15" s="103">
        <v>532</v>
      </c>
      <c r="X15" s="103">
        <v>542</v>
      </c>
      <c r="Y15" s="103">
        <v>560</v>
      </c>
      <c r="Z15" s="103">
        <v>503</v>
      </c>
      <c r="AA15" s="103">
        <v>553</v>
      </c>
      <c r="AB15" s="103">
        <v>545</v>
      </c>
      <c r="AC15" s="103">
        <v>510</v>
      </c>
      <c r="AD15" s="103">
        <v>550</v>
      </c>
      <c r="AE15" s="103">
        <v>522</v>
      </c>
      <c r="AF15" s="103">
        <v>537</v>
      </c>
      <c r="AG15" s="103">
        <v>538</v>
      </c>
      <c r="AH15" s="103">
        <v>518</v>
      </c>
      <c r="AI15" s="103">
        <v>554</v>
      </c>
    </row>
    <row r="16" spans="1:35" ht="12.75">
      <c r="A16" s="103">
        <v>13</v>
      </c>
      <c r="B16" s="80" t="s">
        <v>90</v>
      </c>
      <c r="C16" s="103">
        <v>387</v>
      </c>
      <c r="D16" s="103">
        <v>445</v>
      </c>
      <c r="E16" s="103">
        <v>412</v>
      </c>
      <c r="F16" s="103">
        <v>423</v>
      </c>
      <c r="G16" s="103">
        <v>424</v>
      </c>
      <c r="H16" s="103">
        <v>422</v>
      </c>
      <c r="I16" s="103">
        <v>431</v>
      </c>
      <c r="J16" s="103">
        <v>431</v>
      </c>
      <c r="K16" s="103">
        <v>429</v>
      </c>
      <c r="L16" s="103">
        <v>409</v>
      </c>
      <c r="M16" s="103">
        <v>450</v>
      </c>
      <c r="N16" s="103">
        <v>413</v>
      </c>
      <c r="O16" s="103">
        <v>430</v>
      </c>
      <c r="P16" s="103">
        <v>438</v>
      </c>
      <c r="Q16" s="103">
        <v>419</v>
      </c>
      <c r="R16" s="103">
        <v>440</v>
      </c>
      <c r="S16" s="103">
        <v>444</v>
      </c>
      <c r="T16" s="103">
        <v>426</v>
      </c>
      <c r="U16" s="103">
        <v>455</v>
      </c>
      <c r="V16" s="103">
        <v>457</v>
      </c>
      <c r="W16" s="103">
        <v>451</v>
      </c>
      <c r="X16" s="103">
        <v>424</v>
      </c>
      <c r="Y16" s="103">
        <v>464</v>
      </c>
      <c r="Z16" s="103">
        <v>421</v>
      </c>
      <c r="AA16" s="103">
        <v>449</v>
      </c>
      <c r="AB16" s="103">
        <v>457</v>
      </c>
      <c r="AC16" s="103">
        <v>432</v>
      </c>
      <c r="AD16" s="103">
        <v>434</v>
      </c>
      <c r="AE16" s="103">
        <v>436</v>
      </c>
      <c r="AF16" s="103">
        <v>462</v>
      </c>
      <c r="AG16" s="103">
        <v>432</v>
      </c>
      <c r="AH16" s="103">
        <v>412</v>
      </c>
      <c r="AI16" s="103">
        <v>452</v>
      </c>
    </row>
    <row r="17" spans="1:35" ht="12.75">
      <c r="A17" s="103">
        <v>14</v>
      </c>
      <c r="B17" s="80" t="s">
        <v>91</v>
      </c>
      <c r="C17" s="103">
        <v>20</v>
      </c>
      <c r="D17" s="103">
        <v>28</v>
      </c>
      <c r="E17" s="103">
        <v>20</v>
      </c>
      <c r="F17" s="103">
        <v>22</v>
      </c>
      <c r="G17" s="103">
        <v>25</v>
      </c>
      <c r="H17" s="103">
        <v>28</v>
      </c>
      <c r="I17" s="103">
        <v>36</v>
      </c>
      <c r="J17" s="103">
        <v>37</v>
      </c>
      <c r="K17" s="103">
        <v>42</v>
      </c>
      <c r="L17" s="103">
        <v>42</v>
      </c>
      <c r="M17" s="103">
        <v>39</v>
      </c>
      <c r="N17" s="103">
        <v>44</v>
      </c>
      <c r="O17" s="103">
        <v>38</v>
      </c>
      <c r="P17" s="103">
        <v>44</v>
      </c>
      <c r="Q17" s="103">
        <v>40</v>
      </c>
      <c r="R17" s="103">
        <v>37</v>
      </c>
      <c r="S17" s="103">
        <v>43</v>
      </c>
      <c r="T17" s="103">
        <v>34</v>
      </c>
      <c r="U17" s="103">
        <v>29</v>
      </c>
      <c r="V17" s="103">
        <v>34</v>
      </c>
      <c r="W17" s="103">
        <v>35</v>
      </c>
      <c r="X17" s="103">
        <v>35</v>
      </c>
      <c r="Y17" s="103">
        <v>40</v>
      </c>
      <c r="Z17" s="103">
        <v>34</v>
      </c>
      <c r="AA17" s="103">
        <v>37</v>
      </c>
      <c r="AB17" s="103">
        <v>36</v>
      </c>
      <c r="AC17" s="103">
        <v>37</v>
      </c>
      <c r="AD17" s="103">
        <v>43</v>
      </c>
      <c r="AE17" s="103">
        <v>46</v>
      </c>
      <c r="AF17" s="103">
        <v>43</v>
      </c>
      <c r="AG17" s="103">
        <v>47</v>
      </c>
      <c r="AH17" s="103">
        <v>57</v>
      </c>
      <c r="AI17" s="103">
        <v>61</v>
      </c>
    </row>
    <row r="18" spans="1:35" ht="12.75">
      <c r="A18" s="103">
        <v>15</v>
      </c>
      <c r="B18" s="80" t="s">
        <v>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71</v>
      </c>
      <c r="Y18" s="103">
        <v>179</v>
      </c>
      <c r="Z18" s="103">
        <v>230</v>
      </c>
      <c r="AA18" s="103">
        <v>317</v>
      </c>
      <c r="AB18" s="103">
        <v>399</v>
      </c>
      <c r="AC18" s="103">
        <v>414</v>
      </c>
      <c r="AD18" s="103">
        <v>462</v>
      </c>
      <c r="AE18" s="103">
        <v>481</v>
      </c>
      <c r="AF18" s="103">
        <v>553</v>
      </c>
      <c r="AG18" s="103">
        <v>574</v>
      </c>
      <c r="AH18" s="103">
        <v>563</v>
      </c>
      <c r="AI18" s="103">
        <v>677</v>
      </c>
    </row>
    <row r="19" spans="1:35" ht="12.75">
      <c r="A19" s="103">
        <v>16</v>
      </c>
      <c r="B19" s="80" t="s">
        <v>93</v>
      </c>
      <c r="C19" s="103">
        <v>193</v>
      </c>
      <c r="D19" s="103">
        <v>287</v>
      </c>
      <c r="E19" s="103">
        <v>302</v>
      </c>
      <c r="F19" s="103">
        <v>325</v>
      </c>
      <c r="G19" s="103">
        <v>351</v>
      </c>
      <c r="H19" s="103">
        <v>321</v>
      </c>
      <c r="I19" s="103">
        <v>305</v>
      </c>
      <c r="J19" s="103">
        <v>312</v>
      </c>
      <c r="K19" s="103">
        <v>302</v>
      </c>
      <c r="L19" s="103">
        <v>325</v>
      </c>
      <c r="M19" s="103">
        <v>364</v>
      </c>
      <c r="N19" s="103">
        <v>362</v>
      </c>
      <c r="O19" s="103">
        <v>400</v>
      </c>
      <c r="P19" s="103">
        <v>423</v>
      </c>
      <c r="Q19" s="103">
        <v>416</v>
      </c>
      <c r="R19" s="103">
        <v>425</v>
      </c>
      <c r="S19" s="103">
        <v>444</v>
      </c>
      <c r="T19" s="103">
        <v>427</v>
      </c>
      <c r="U19" s="103">
        <v>455</v>
      </c>
      <c r="V19" s="103">
        <v>487</v>
      </c>
      <c r="W19" s="103">
        <v>484</v>
      </c>
      <c r="X19" s="103">
        <v>486</v>
      </c>
      <c r="Y19" s="103">
        <v>532</v>
      </c>
      <c r="Z19" s="103">
        <v>478</v>
      </c>
      <c r="AA19" s="103">
        <v>542</v>
      </c>
      <c r="AB19" s="103">
        <v>575</v>
      </c>
      <c r="AC19" s="103">
        <v>538</v>
      </c>
      <c r="AD19" s="103">
        <v>585</v>
      </c>
      <c r="AE19" s="103">
        <v>546</v>
      </c>
      <c r="AF19" s="103">
        <v>590</v>
      </c>
      <c r="AG19" s="103">
        <v>582</v>
      </c>
      <c r="AH19" s="103">
        <v>570</v>
      </c>
      <c r="AI19" s="103">
        <v>608</v>
      </c>
    </row>
    <row r="20" spans="1:35" ht="12.75">
      <c r="A20" s="103">
        <v>17</v>
      </c>
      <c r="B20" s="80" t="s">
        <v>94</v>
      </c>
      <c r="C20" s="103">
        <v>14</v>
      </c>
      <c r="D20" s="103">
        <v>17</v>
      </c>
      <c r="E20" s="103">
        <v>17</v>
      </c>
      <c r="F20" s="103">
        <v>21</v>
      </c>
      <c r="G20" s="103">
        <v>27</v>
      </c>
      <c r="H20" s="103">
        <v>23</v>
      </c>
      <c r="I20" s="103">
        <v>22</v>
      </c>
      <c r="J20" s="103">
        <v>30</v>
      </c>
      <c r="K20" s="103">
        <v>28</v>
      </c>
      <c r="L20" s="103">
        <v>29</v>
      </c>
      <c r="M20" s="103">
        <v>37</v>
      </c>
      <c r="N20" s="103">
        <v>33</v>
      </c>
      <c r="O20" s="103">
        <v>40</v>
      </c>
      <c r="P20" s="103">
        <v>41</v>
      </c>
      <c r="Q20" s="103">
        <v>46</v>
      </c>
      <c r="R20" s="103">
        <v>42</v>
      </c>
      <c r="S20" s="103">
        <v>38</v>
      </c>
      <c r="T20" s="103">
        <v>44</v>
      </c>
      <c r="U20" s="103">
        <v>44</v>
      </c>
      <c r="V20" s="103">
        <v>47</v>
      </c>
      <c r="W20" s="103">
        <v>48</v>
      </c>
      <c r="X20" s="103">
        <v>51</v>
      </c>
      <c r="Y20" s="103">
        <v>44</v>
      </c>
      <c r="Z20" s="103">
        <v>46</v>
      </c>
      <c r="AA20" s="103">
        <v>54</v>
      </c>
      <c r="AB20" s="103">
        <v>59</v>
      </c>
      <c r="AC20" s="103">
        <v>48</v>
      </c>
      <c r="AD20" s="103">
        <v>58</v>
      </c>
      <c r="AE20" s="103">
        <v>59</v>
      </c>
      <c r="AF20" s="103">
        <v>57</v>
      </c>
      <c r="AG20" s="103">
        <v>61</v>
      </c>
      <c r="AH20" s="103">
        <v>72</v>
      </c>
      <c r="AI20" s="103">
        <v>70</v>
      </c>
    </row>
    <row r="21" spans="1:35" ht="12.75">
      <c r="A21" s="103">
        <v>18</v>
      </c>
      <c r="B21" s="80" t="s">
        <v>95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23</v>
      </c>
      <c r="L21" s="103">
        <v>62</v>
      </c>
      <c r="M21" s="103">
        <v>131</v>
      </c>
      <c r="N21" s="103">
        <v>159</v>
      </c>
      <c r="O21" s="103">
        <v>221</v>
      </c>
      <c r="P21" s="103">
        <v>226</v>
      </c>
      <c r="Q21" s="103">
        <v>246</v>
      </c>
      <c r="R21" s="103">
        <v>249</v>
      </c>
      <c r="S21" s="103">
        <v>264</v>
      </c>
      <c r="T21" s="103">
        <v>294</v>
      </c>
      <c r="U21" s="103">
        <v>306</v>
      </c>
      <c r="V21" s="103">
        <v>325</v>
      </c>
      <c r="W21" s="103">
        <v>339</v>
      </c>
      <c r="X21" s="103">
        <v>350</v>
      </c>
      <c r="Y21" s="103">
        <v>378</v>
      </c>
      <c r="Z21" s="103">
        <v>364</v>
      </c>
      <c r="AA21" s="103">
        <v>393</v>
      </c>
      <c r="AB21" s="103">
        <v>410</v>
      </c>
      <c r="AC21" s="103">
        <v>393</v>
      </c>
      <c r="AD21" s="103">
        <v>410</v>
      </c>
      <c r="AE21" s="103">
        <v>382</v>
      </c>
      <c r="AF21" s="103">
        <v>398</v>
      </c>
      <c r="AG21" s="103">
        <v>399</v>
      </c>
      <c r="AH21" s="103">
        <v>384</v>
      </c>
      <c r="AI21" s="103">
        <v>431</v>
      </c>
    </row>
    <row r="22" spans="1:35" ht="12.75">
      <c r="A22" s="103">
        <v>19</v>
      </c>
      <c r="B22" s="80" t="s">
        <v>96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8</v>
      </c>
      <c r="X22" s="103">
        <v>27</v>
      </c>
      <c r="Y22" s="103">
        <v>65</v>
      </c>
      <c r="Z22" s="103">
        <v>81</v>
      </c>
      <c r="AA22" s="103">
        <v>138</v>
      </c>
      <c r="AB22" s="103">
        <v>142</v>
      </c>
      <c r="AC22" s="103">
        <v>141</v>
      </c>
      <c r="AD22" s="103">
        <v>163</v>
      </c>
      <c r="AE22" s="103">
        <v>184</v>
      </c>
      <c r="AF22" s="103">
        <v>181</v>
      </c>
      <c r="AG22" s="103">
        <v>176</v>
      </c>
      <c r="AH22" s="103">
        <v>193</v>
      </c>
      <c r="AI22" s="103">
        <v>221</v>
      </c>
    </row>
    <row r="23" spans="1:35" ht="12.75">
      <c r="A23" s="103">
        <v>20</v>
      </c>
      <c r="B23" s="80" t="s">
        <v>97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10</v>
      </c>
      <c r="Y23" s="103">
        <v>28</v>
      </c>
      <c r="Z23" s="103">
        <v>30</v>
      </c>
      <c r="AA23" s="103">
        <v>49</v>
      </c>
      <c r="AB23" s="103">
        <v>56</v>
      </c>
      <c r="AC23" s="103">
        <v>56</v>
      </c>
      <c r="AD23" s="103">
        <v>61</v>
      </c>
      <c r="AE23" s="103">
        <v>64</v>
      </c>
      <c r="AF23" s="103">
        <v>67</v>
      </c>
      <c r="AG23" s="103">
        <v>85</v>
      </c>
      <c r="AH23" s="103">
        <v>90</v>
      </c>
      <c r="AI23" s="103">
        <v>93</v>
      </c>
    </row>
    <row r="24" spans="1:35" ht="12.75">
      <c r="A24" s="103">
        <v>21</v>
      </c>
      <c r="B24" s="80" t="s">
        <v>98</v>
      </c>
      <c r="C24" s="103">
        <v>39</v>
      </c>
      <c r="D24" s="103">
        <v>27</v>
      </c>
      <c r="E24" s="103">
        <v>30</v>
      </c>
      <c r="F24" s="103">
        <v>30</v>
      </c>
      <c r="G24" s="103">
        <v>28</v>
      </c>
      <c r="H24" s="103">
        <v>27</v>
      </c>
      <c r="I24" s="103">
        <v>24</v>
      </c>
      <c r="J24" s="103">
        <v>29</v>
      </c>
      <c r="K24" s="103">
        <v>24</v>
      </c>
      <c r="L24" s="103">
        <v>25</v>
      </c>
      <c r="M24" s="103">
        <v>30</v>
      </c>
      <c r="N24" s="103">
        <v>29</v>
      </c>
      <c r="O24" s="103">
        <v>27</v>
      </c>
      <c r="P24" s="103">
        <v>27</v>
      </c>
      <c r="Q24" s="103">
        <v>30</v>
      </c>
      <c r="R24" s="103">
        <v>32</v>
      </c>
      <c r="S24" s="103">
        <v>24</v>
      </c>
      <c r="T24" s="103">
        <v>32</v>
      </c>
      <c r="U24" s="103">
        <v>29</v>
      </c>
      <c r="V24" s="103">
        <v>30</v>
      </c>
      <c r="W24" s="103">
        <v>32</v>
      </c>
      <c r="X24" s="103">
        <v>25</v>
      </c>
      <c r="Y24" s="103">
        <v>34</v>
      </c>
      <c r="Z24" s="103">
        <v>28</v>
      </c>
      <c r="AA24" s="103">
        <v>27</v>
      </c>
      <c r="AB24" s="103">
        <v>35</v>
      </c>
      <c r="AC24" s="103">
        <v>28</v>
      </c>
      <c r="AD24" s="103">
        <v>32</v>
      </c>
      <c r="AE24" s="103">
        <v>28</v>
      </c>
      <c r="AF24" s="103">
        <v>34</v>
      </c>
      <c r="AG24" s="103">
        <v>36</v>
      </c>
      <c r="AH24" s="103">
        <v>30</v>
      </c>
      <c r="AI24" s="103">
        <v>35</v>
      </c>
    </row>
    <row r="25" spans="1:35" ht="25.5">
      <c r="A25" s="103">
        <v>22</v>
      </c>
      <c r="B25" s="80" t="s">
        <v>99</v>
      </c>
      <c r="C25" s="103">
        <v>163</v>
      </c>
      <c r="D25" s="103">
        <v>205</v>
      </c>
      <c r="E25" s="103">
        <v>209</v>
      </c>
      <c r="F25" s="103">
        <v>181</v>
      </c>
      <c r="G25" s="103">
        <v>192</v>
      </c>
      <c r="H25" s="103">
        <v>159</v>
      </c>
      <c r="I25" s="103">
        <v>198</v>
      </c>
      <c r="J25" s="103">
        <v>199</v>
      </c>
      <c r="K25" s="103">
        <v>186</v>
      </c>
      <c r="L25" s="103">
        <v>191</v>
      </c>
      <c r="M25" s="103">
        <v>198</v>
      </c>
      <c r="N25" s="103">
        <v>181</v>
      </c>
      <c r="O25" s="103">
        <v>194</v>
      </c>
      <c r="P25" s="103">
        <v>180</v>
      </c>
      <c r="Q25" s="103">
        <v>176</v>
      </c>
      <c r="R25" s="103">
        <v>189</v>
      </c>
      <c r="S25" s="103">
        <v>183</v>
      </c>
      <c r="T25" s="103">
        <v>190</v>
      </c>
      <c r="U25" s="103">
        <v>203</v>
      </c>
      <c r="V25" s="103">
        <v>191</v>
      </c>
      <c r="W25" s="103">
        <v>196</v>
      </c>
      <c r="X25" s="103">
        <v>176</v>
      </c>
      <c r="Y25" s="103">
        <v>203</v>
      </c>
      <c r="Z25" s="103">
        <v>159</v>
      </c>
      <c r="AA25" s="103">
        <v>184</v>
      </c>
      <c r="AB25" s="103">
        <v>175</v>
      </c>
      <c r="AC25" s="103">
        <v>168</v>
      </c>
      <c r="AD25" s="103">
        <v>170</v>
      </c>
      <c r="AE25" s="103">
        <v>166</v>
      </c>
      <c r="AF25" s="103">
        <v>179</v>
      </c>
      <c r="AG25" s="103">
        <v>163</v>
      </c>
      <c r="AH25" s="103">
        <v>146</v>
      </c>
      <c r="AI25" s="103">
        <v>171</v>
      </c>
    </row>
    <row r="26" spans="1:35" ht="25.5">
      <c r="A26" s="103">
        <v>23</v>
      </c>
      <c r="B26" s="80" t="s">
        <v>100</v>
      </c>
      <c r="C26" s="103">
        <v>64</v>
      </c>
      <c r="D26" s="103">
        <v>79</v>
      </c>
      <c r="E26" s="103">
        <v>79</v>
      </c>
      <c r="F26" s="103">
        <v>73</v>
      </c>
      <c r="G26" s="103">
        <v>74</v>
      </c>
      <c r="H26" s="103">
        <v>74</v>
      </c>
      <c r="I26" s="103">
        <v>78</v>
      </c>
      <c r="J26" s="103">
        <v>76</v>
      </c>
      <c r="K26" s="103">
        <v>75</v>
      </c>
      <c r="L26" s="103">
        <v>73</v>
      </c>
      <c r="M26" s="103">
        <v>87</v>
      </c>
      <c r="N26" s="103">
        <v>76</v>
      </c>
      <c r="O26" s="103">
        <v>85</v>
      </c>
      <c r="P26" s="103">
        <v>86</v>
      </c>
      <c r="Q26" s="103">
        <v>69</v>
      </c>
      <c r="R26" s="103">
        <v>77</v>
      </c>
      <c r="S26" s="103">
        <v>81</v>
      </c>
      <c r="T26" s="103">
        <v>82</v>
      </c>
      <c r="U26" s="103">
        <v>79</v>
      </c>
      <c r="V26" s="103">
        <v>92</v>
      </c>
      <c r="W26" s="103">
        <v>97</v>
      </c>
      <c r="X26" s="103">
        <v>84</v>
      </c>
      <c r="Y26" s="103">
        <v>88</v>
      </c>
      <c r="Z26" s="103">
        <v>78</v>
      </c>
      <c r="AA26" s="103">
        <v>83</v>
      </c>
      <c r="AB26" s="103">
        <v>81</v>
      </c>
      <c r="AC26" s="103">
        <v>87</v>
      </c>
      <c r="AD26" s="103">
        <v>91</v>
      </c>
      <c r="AE26" s="103">
        <v>82</v>
      </c>
      <c r="AF26" s="103">
        <v>96</v>
      </c>
      <c r="AG26" s="103">
        <v>72</v>
      </c>
      <c r="AH26" s="103">
        <v>90</v>
      </c>
      <c r="AI26" s="103">
        <v>83</v>
      </c>
    </row>
    <row r="27" spans="1:35" ht="25.5">
      <c r="A27" s="103">
        <v>24</v>
      </c>
      <c r="B27" s="80" t="s">
        <v>101</v>
      </c>
      <c r="C27" s="103">
        <v>34</v>
      </c>
      <c r="D27" s="103">
        <v>38</v>
      </c>
      <c r="E27" s="103">
        <v>34</v>
      </c>
      <c r="F27" s="103">
        <v>32</v>
      </c>
      <c r="G27" s="103">
        <v>32</v>
      </c>
      <c r="H27" s="103">
        <v>25</v>
      </c>
      <c r="I27" s="103">
        <v>28</v>
      </c>
      <c r="J27" s="103">
        <v>25</v>
      </c>
      <c r="K27" s="103">
        <v>34</v>
      </c>
      <c r="L27" s="103">
        <v>25</v>
      </c>
      <c r="M27" s="103">
        <v>31</v>
      </c>
      <c r="N27" s="103">
        <v>28</v>
      </c>
      <c r="O27" s="103">
        <v>28</v>
      </c>
      <c r="P27" s="103">
        <v>26</v>
      </c>
      <c r="Q27" s="103">
        <v>26</v>
      </c>
      <c r="R27" s="103">
        <v>27</v>
      </c>
      <c r="S27" s="103">
        <v>25</v>
      </c>
      <c r="T27" s="103">
        <v>28</v>
      </c>
      <c r="U27" s="103">
        <v>24</v>
      </c>
      <c r="V27" s="103">
        <v>31</v>
      </c>
      <c r="W27" s="103">
        <v>28</v>
      </c>
      <c r="X27" s="103">
        <v>24</v>
      </c>
      <c r="Y27" s="103">
        <v>26</v>
      </c>
      <c r="Z27" s="103">
        <v>19</v>
      </c>
      <c r="AA27" s="103">
        <v>22</v>
      </c>
      <c r="AB27" s="103">
        <v>24</v>
      </c>
      <c r="AC27" s="103">
        <v>27</v>
      </c>
      <c r="AD27" s="103">
        <v>25</v>
      </c>
      <c r="AE27" s="103">
        <v>23</v>
      </c>
      <c r="AF27" s="103">
        <v>28</v>
      </c>
      <c r="AG27" s="103">
        <v>30</v>
      </c>
      <c r="AH27" s="103">
        <v>31</v>
      </c>
      <c r="AI27" s="103">
        <v>26</v>
      </c>
    </row>
    <row r="28" spans="1:35" ht="25.5">
      <c r="A28" s="103">
        <v>25</v>
      </c>
      <c r="B28" s="80" t="s">
        <v>102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98</v>
      </c>
      <c r="Z28" s="103">
        <v>232</v>
      </c>
      <c r="AA28" s="103">
        <v>396</v>
      </c>
      <c r="AB28" s="103">
        <v>555</v>
      </c>
      <c r="AC28" s="103">
        <v>611</v>
      </c>
      <c r="AD28" s="103">
        <v>669</v>
      </c>
      <c r="AE28" s="103">
        <v>686</v>
      </c>
      <c r="AF28" s="103">
        <v>765</v>
      </c>
      <c r="AG28" s="103">
        <v>770</v>
      </c>
      <c r="AH28" s="103">
        <v>759</v>
      </c>
      <c r="AI28" s="103">
        <v>842</v>
      </c>
    </row>
    <row r="29" spans="1:35" ht="25.5">
      <c r="A29" s="103">
        <v>26</v>
      </c>
      <c r="B29" s="80" t="s">
        <v>103</v>
      </c>
      <c r="C29" s="103">
        <v>1176</v>
      </c>
      <c r="D29" s="103">
        <v>1335</v>
      </c>
      <c r="E29" s="103">
        <v>1303</v>
      </c>
      <c r="F29" s="103">
        <v>1253</v>
      </c>
      <c r="G29" s="103">
        <v>1280</v>
      </c>
      <c r="H29" s="103">
        <v>1292</v>
      </c>
      <c r="I29" s="103">
        <v>1384</v>
      </c>
      <c r="J29" s="103">
        <v>1424</v>
      </c>
      <c r="K29" s="103">
        <v>1413</v>
      </c>
      <c r="L29" s="103">
        <v>1357</v>
      </c>
      <c r="M29" s="103">
        <v>1472</v>
      </c>
      <c r="N29" s="103">
        <v>1427</v>
      </c>
      <c r="O29" s="103">
        <v>1466</v>
      </c>
      <c r="P29" s="103">
        <v>1459</v>
      </c>
      <c r="Q29" s="103">
        <v>1404</v>
      </c>
      <c r="R29" s="103">
        <v>1448</v>
      </c>
      <c r="S29" s="103">
        <v>1445</v>
      </c>
      <c r="T29" s="103">
        <v>1441</v>
      </c>
      <c r="U29" s="103">
        <v>1475</v>
      </c>
      <c r="V29" s="103">
        <v>1495</v>
      </c>
      <c r="W29" s="103">
        <v>1443</v>
      </c>
      <c r="X29" s="103">
        <v>1414</v>
      </c>
      <c r="Y29" s="103">
        <v>1459</v>
      </c>
      <c r="Z29" s="103">
        <v>1180</v>
      </c>
      <c r="AA29" s="103">
        <v>1124</v>
      </c>
      <c r="AB29" s="103">
        <v>1066</v>
      </c>
      <c r="AC29" s="103">
        <v>935</v>
      </c>
      <c r="AD29" s="103">
        <v>954</v>
      </c>
      <c r="AE29" s="103">
        <v>856</v>
      </c>
      <c r="AF29" s="103">
        <v>912</v>
      </c>
      <c r="AG29" s="103">
        <v>845</v>
      </c>
      <c r="AH29" s="103">
        <v>831</v>
      </c>
      <c r="AI29" s="103">
        <v>877</v>
      </c>
    </row>
    <row r="30" spans="1:35" ht="25.5">
      <c r="A30" s="103">
        <v>27</v>
      </c>
      <c r="B30" s="80" t="s">
        <v>104</v>
      </c>
      <c r="C30" s="103">
        <v>704</v>
      </c>
      <c r="D30" s="103">
        <v>805</v>
      </c>
      <c r="E30" s="103">
        <v>794</v>
      </c>
      <c r="F30" s="103">
        <v>762</v>
      </c>
      <c r="G30" s="103">
        <v>769</v>
      </c>
      <c r="H30" s="103">
        <v>767</v>
      </c>
      <c r="I30" s="103">
        <v>769</v>
      </c>
      <c r="J30" s="103">
        <v>794</v>
      </c>
      <c r="K30" s="103">
        <v>754</v>
      </c>
      <c r="L30" s="103">
        <v>704</v>
      </c>
      <c r="M30" s="103">
        <v>765</v>
      </c>
      <c r="N30" s="103">
        <v>766</v>
      </c>
      <c r="O30" s="103">
        <v>773</v>
      </c>
      <c r="P30" s="103">
        <v>724</v>
      </c>
      <c r="Q30" s="103">
        <v>708</v>
      </c>
      <c r="R30" s="103">
        <v>728</v>
      </c>
      <c r="S30" s="103">
        <v>738</v>
      </c>
      <c r="T30" s="103">
        <v>708</v>
      </c>
      <c r="U30" s="103">
        <v>760</v>
      </c>
      <c r="V30" s="103">
        <v>738</v>
      </c>
      <c r="W30" s="103">
        <v>730</v>
      </c>
      <c r="X30" s="103">
        <v>712</v>
      </c>
      <c r="Y30" s="103">
        <v>745</v>
      </c>
      <c r="Z30" s="103">
        <v>672</v>
      </c>
      <c r="AA30" s="103">
        <v>703</v>
      </c>
      <c r="AB30" s="103">
        <v>684</v>
      </c>
      <c r="AC30" s="103">
        <v>629</v>
      </c>
      <c r="AD30" s="103">
        <v>619</v>
      </c>
      <c r="AE30" s="103">
        <v>590</v>
      </c>
      <c r="AF30" s="103">
        <v>649</v>
      </c>
      <c r="AG30" s="103">
        <v>604</v>
      </c>
      <c r="AH30" s="103">
        <v>586</v>
      </c>
      <c r="AI30" s="103">
        <v>640</v>
      </c>
    </row>
    <row r="31" spans="1:35" ht="25.5">
      <c r="A31" s="103">
        <v>28</v>
      </c>
      <c r="B31" s="80" t="s">
        <v>105</v>
      </c>
      <c r="C31" s="103">
        <v>303</v>
      </c>
      <c r="D31" s="103">
        <v>338</v>
      </c>
      <c r="E31" s="103">
        <v>324</v>
      </c>
      <c r="F31" s="103">
        <v>322</v>
      </c>
      <c r="G31" s="103">
        <v>336</v>
      </c>
      <c r="H31" s="103">
        <v>343</v>
      </c>
      <c r="I31" s="103">
        <v>335</v>
      </c>
      <c r="J31" s="103">
        <v>329</v>
      </c>
      <c r="K31" s="103">
        <v>314</v>
      </c>
      <c r="L31" s="103">
        <v>305</v>
      </c>
      <c r="M31" s="103">
        <v>338</v>
      </c>
      <c r="N31" s="103">
        <v>324</v>
      </c>
      <c r="O31" s="103">
        <v>325</v>
      </c>
      <c r="P31" s="103">
        <v>325</v>
      </c>
      <c r="Q31" s="103">
        <v>299</v>
      </c>
      <c r="R31" s="103">
        <v>299</v>
      </c>
      <c r="S31" s="103">
        <v>313</v>
      </c>
      <c r="T31" s="103">
        <v>310</v>
      </c>
      <c r="U31" s="103">
        <v>313</v>
      </c>
      <c r="V31" s="103">
        <v>316</v>
      </c>
      <c r="W31" s="103">
        <v>331</v>
      </c>
      <c r="X31" s="103">
        <v>283</v>
      </c>
      <c r="Y31" s="103">
        <v>320</v>
      </c>
      <c r="Z31" s="103">
        <v>270</v>
      </c>
      <c r="AA31" s="103">
        <v>295</v>
      </c>
      <c r="AB31" s="103">
        <v>316</v>
      </c>
      <c r="AC31" s="103">
        <v>282</v>
      </c>
      <c r="AD31" s="103">
        <v>290</v>
      </c>
      <c r="AE31" s="103">
        <v>269</v>
      </c>
      <c r="AF31" s="103">
        <v>309</v>
      </c>
      <c r="AG31" s="103">
        <v>275</v>
      </c>
      <c r="AH31" s="103">
        <v>277</v>
      </c>
      <c r="AI31" s="103">
        <v>291</v>
      </c>
    </row>
    <row r="32" spans="1:35" ht="12.75">
      <c r="A32" s="103">
        <v>29</v>
      </c>
      <c r="B32" s="80" t="s">
        <v>108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2</v>
      </c>
    </row>
    <row r="34" spans="1:35" s="70" customFormat="1" ht="13.5" thickBot="1">
      <c r="A34" s="94" t="s">
        <v>113</v>
      </c>
      <c r="B34" s="94" t="s">
        <v>112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78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6</v>
      </c>
      <c r="W35" s="104">
        <f>VLOOKUP(1,$A$4:$AZ$32,23,FALSE)</f>
        <v>5</v>
      </c>
      <c r="X35" s="104">
        <f>VLOOKUP(1,$A$4:$AZ$32,24,FALSE)</f>
        <v>13</v>
      </c>
      <c r="Y35" s="104">
        <f>VLOOKUP(1,$A$4:$AZ$32,25,FALSE)</f>
        <v>16</v>
      </c>
      <c r="Z35" s="104">
        <f>VLOOKUP(1,$A$4:$AZ$32,26,FALSE)</f>
        <v>15</v>
      </c>
      <c r="AA35" s="104">
        <f>VLOOKUP(1,$A$4:$AZ$32,27,FALSE)</f>
        <v>24</v>
      </c>
      <c r="AB35" s="104">
        <f>VLOOKUP(1,$A$4:$AZ$32,28,FALSE)</f>
        <v>29</v>
      </c>
      <c r="AC35" s="104">
        <f>VLOOKUP(1,$A$4:$AZ$32,29,FALSE)</f>
        <v>31</v>
      </c>
      <c r="AD35" s="104">
        <f>VLOOKUP(1,$A$4:$AZ$32,30,FALSE)</f>
        <v>27</v>
      </c>
      <c r="AE35" s="104">
        <f>VLOOKUP(1,$A$4:$AZ$32,31,FALSE)</f>
        <v>33</v>
      </c>
      <c r="AF35" s="104">
        <f>VLOOKUP(1,$A$4:$AZ$32,32,FALSE)</f>
        <v>30</v>
      </c>
      <c r="AG35" s="104">
        <f>VLOOKUP(1,$A$4:$AZ$32,33,FALSE)</f>
        <v>42</v>
      </c>
      <c r="AH35" s="104">
        <f>VLOOKUP(1,$A$4:$AZ$32,34,FALSE)</f>
        <v>17</v>
      </c>
      <c r="AI35" s="104">
        <f>VLOOKUP(1,$A$4:$AZ$32,35,FALSE)</f>
        <v>42</v>
      </c>
    </row>
    <row r="36" spans="1:35" ht="25.5">
      <c r="A36">
        <v>2</v>
      </c>
      <c r="B36" s="78" t="s">
        <v>79</v>
      </c>
      <c r="C36" s="104">
        <f>VLOOKUP(2,$A$4:$AZ$32,3,FALSE)</f>
        <v>1130</v>
      </c>
      <c r="D36" s="104">
        <f>VLOOKUP(2,$A$4:$AZ$32,4,FALSE)</f>
        <v>1350</v>
      </c>
      <c r="E36" s="104">
        <f>VLOOKUP(2,$A$4:$AZ$32,5,FALSE)</f>
        <v>1234</v>
      </c>
      <c r="F36" s="104">
        <f>VLOOKUP(2,$A$4:$AZ$32,6,FALSE)</f>
        <v>1259</v>
      </c>
      <c r="G36" s="104">
        <f>VLOOKUP(2,$A$4:$AZ$32,7,FALSE)</f>
        <v>1225</v>
      </c>
      <c r="H36" s="104">
        <f>VLOOKUP(2,$A$4:$AZ$32,8,FALSE)</f>
        <v>1264</v>
      </c>
      <c r="I36" s="104">
        <f>VLOOKUP(2,$A$4:$AZ$32,9,FALSE)</f>
        <v>1283</v>
      </c>
      <c r="J36" s="104">
        <f>VLOOKUP(2,$A$4:$AZ$32,10,FALSE)</f>
        <v>1295</v>
      </c>
      <c r="K36" s="104">
        <f>VLOOKUP(2,$A$4:$AZ$32,11,FALSE)</f>
        <v>1266</v>
      </c>
      <c r="L36" s="104">
        <f>VLOOKUP(2,$A$4:$AZ$32,12,FALSE)</f>
        <v>1168</v>
      </c>
      <c r="M36" s="104">
        <f>VLOOKUP(2,$A$4:$AZ$32,13,FALSE)</f>
        <v>1336</v>
      </c>
      <c r="N36" s="104">
        <f>VLOOKUP(2,$A$4:$AZ$32,14,FALSE)</f>
        <v>1277</v>
      </c>
      <c r="O36" s="104">
        <f>VLOOKUP(2,$A$4:$AZ$32,15,FALSE)</f>
        <v>1366</v>
      </c>
      <c r="P36" s="104">
        <f>VLOOKUP(2,$A$4:$AZ$32,16,FALSE)</f>
        <v>1302</v>
      </c>
      <c r="Q36" s="104">
        <f>VLOOKUP(2,$A$4:$AZ$32,17,FALSE)</f>
        <v>1303</v>
      </c>
      <c r="R36" s="104">
        <f>VLOOKUP(2,$A$4:$AZ$32,18,FALSE)</f>
        <v>1413</v>
      </c>
      <c r="S36" s="104">
        <f>VLOOKUP(2,$A$4:$AZ$32,19,FALSE)</f>
        <v>1431</v>
      </c>
      <c r="T36" s="104">
        <f>VLOOKUP(2,$A$4:$AZ$32,20,FALSE)</f>
        <v>1483</v>
      </c>
      <c r="U36" s="104">
        <f>VLOOKUP(2,$A$4:$AZ$32,21,FALSE)</f>
        <v>1493</v>
      </c>
      <c r="V36" s="104">
        <f>VLOOKUP(2,$A$4:$AZ$32,22,FALSE)</f>
        <v>1552</v>
      </c>
      <c r="W36" s="104">
        <f>VLOOKUP(2,$A$4:$AZ$32,23,FALSE)</f>
        <v>1523</v>
      </c>
      <c r="X36" s="104">
        <f>VLOOKUP(2,$A$4:$AZ$32,24,FALSE)</f>
        <v>1455</v>
      </c>
      <c r="Y36" s="104">
        <f>VLOOKUP(2,$A$4:$AZ$32,25,FALSE)</f>
        <v>1613</v>
      </c>
      <c r="Z36" s="104">
        <f>VLOOKUP(2,$A$4:$AZ$32,26,FALSE)</f>
        <v>1479</v>
      </c>
      <c r="AA36" s="104">
        <f>VLOOKUP(2,$A$4:$AZ$32,27,FALSE)</f>
        <v>1605</v>
      </c>
      <c r="AB36" s="104">
        <f>VLOOKUP(2,$A$4:$AZ$32,28,FALSE)</f>
        <v>1567</v>
      </c>
      <c r="AC36" s="104">
        <f>VLOOKUP(2,$A$4:$AZ$32,29,FALSE)</f>
        <v>1541</v>
      </c>
      <c r="AD36" s="104">
        <f>VLOOKUP(2,$A$4:$AZ$32,30,FALSE)</f>
        <v>1553</v>
      </c>
      <c r="AE36" s="104">
        <f>VLOOKUP(2,$A$4:$AZ$32,31,FALSE)</f>
        <v>1579</v>
      </c>
      <c r="AF36" s="104">
        <f>VLOOKUP(2,$A$4:$AZ$32,32,FALSE)</f>
        <v>1699</v>
      </c>
      <c r="AG36" s="104">
        <f>VLOOKUP(2,$A$4:$AZ$32,33,FALSE)</f>
        <v>1617</v>
      </c>
      <c r="AH36" s="104">
        <f>VLOOKUP(2,$A$4:$AZ$32,34,FALSE)</f>
        <v>1620</v>
      </c>
      <c r="AI36" s="104">
        <f>VLOOKUP(2,$A$4:$AZ$32,35,FALSE)</f>
        <v>1773</v>
      </c>
    </row>
    <row r="37" spans="1:35" ht="25.5">
      <c r="A37">
        <v>3</v>
      </c>
      <c r="B37" s="78" t="s">
        <v>80</v>
      </c>
      <c r="C37" s="104">
        <f>VLOOKUP(3,$A$4:$AZ$32,3,FALSE)</f>
        <v>181</v>
      </c>
      <c r="D37" s="104">
        <f>VLOOKUP(3,$A$4:$AZ$32,4,FALSE)</f>
        <v>221</v>
      </c>
      <c r="E37" s="104">
        <f>VLOOKUP(3,$A$4:$AZ$32,5,FALSE)</f>
        <v>195</v>
      </c>
      <c r="F37" s="104">
        <f>VLOOKUP(3,$A$4:$AZ$32,6,FALSE)</f>
        <v>201</v>
      </c>
      <c r="G37" s="104">
        <f>VLOOKUP(3,$A$4:$AZ$32,7,FALSE)</f>
        <v>198</v>
      </c>
      <c r="H37" s="104">
        <f>VLOOKUP(3,$A$4:$AZ$32,8,FALSE)</f>
        <v>192</v>
      </c>
      <c r="I37" s="104">
        <f>VLOOKUP(3,$A$4:$AZ$32,9,FALSE)</f>
        <v>217</v>
      </c>
      <c r="J37" s="104">
        <f>VLOOKUP(3,$A$4:$AZ$32,10,FALSE)</f>
        <v>225</v>
      </c>
      <c r="K37" s="104">
        <f>VLOOKUP(3,$A$4:$AZ$32,11,FALSE)</f>
        <v>226</v>
      </c>
      <c r="L37" s="104">
        <f>VLOOKUP(3,$A$4:$AZ$32,12,FALSE)</f>
        <v>223</v>
      </c>
      <c r="M37" s="104">
        <f>VLOOKUP(3,$A$4:$AZ$32,13,FALSE)</f>
        <v>236</v>
      </c>
      <c r="N37" s="104">
        <f>VLOOKUP(3,$A$4:$AZ$32,14,FALSE)</f>
        <v>236</v>
      </c>
      <c r="O37" s="104">
        <f>VLOOKUP(3,$A$4:$AZ$32,15,FALSE)</f>
        <v>254</v>
      </c>
      <c r="P37" s="104">
        <f>VLOOKUP(3,$A$4:$AZ$32,16,FALSE)</f>
        <v>262</v>
      </c>
      <c r="Q37" s="104">
        <f>VLOOKUP(3,$A$4:$AZ$32,17,FALSE)</f>
        <v>248</v>
      </c>
      <c r="R37" s="104">
        <f>VLOOKUP(3,$A$4:$AZ$32,18,FALSE)</f>
        <v>271</v>
      </c>
      <c r="S37" s="104">
        <f>VLOOKUP(3,$A$4:$AZ$32,19,FALSE)</f>
        <v>264</v>
      </c>
      <c r="T37" s="104">
        <f>VLOOKUP(3,$A$4:$AZ$32,20,FALSE)</f>
        <v>280</v>
      </c>
      <c r="U37" s="104">
        <f>VLOOKUP(3,$A$4:$AZ$32,21,FALSE)</f>
        <v>295</v>
      </c>
      <c r="V37" s="104">
        <f>VLOOKUP(3,$A$4:$AZ$32,22,FALSE)</f>
        <v>309</v>
      </c>
      <c r="W37" s="104">
        <f>VLOOKUP(3,$A$4:$AZ$32,23,FALSE)</f>
        <v>297</v>
      </c>
      <c r="X37" s="104">
        <f>VLOOKUP(3,$A$4:$AZ$32,24,FALSE)</f>
        <v>283</v>
      </c>
      <c r="Y37" s="104">
        <f>VLOOKUP(3,$A$4:$AZ$32,25,FALSE)</f>
        <v>299</v>
      </c>
      <c r="Z37" s="104">
        <f>VLOOKUP(3,$A$4:$AZ$32,26,FALSE)</f>
        <v>282</v>
      </c>
      <c r="AA37" s="104">
        <f>VLOOKUP(3,$A$4:$AZ$32,27,FALSE)</f>
        <v>311</v>
      </c>
      <c r="AB37" s="104">
        <f>VLOOKUP(3,$A$4:$AZ$32,28,FALSE)</f>
        <v>304</v>
      </c>
      <c r="AC37" s="104">
        <f>VLOOKUP(3,$A$4:$AZ$32,29,FALSE)</f>
        <v>274</v>
      </c>
      <c r="AD37" s="104">
        <f>VLOOKUP(3,$A$4:$AZ$32,30,FALSE)</f>
        <v>295</v>
      </c>
      <c r="AE37" s="104">
        <f>VLOOKUP(3,$A$4:$AZ$32,31,FALSE)</f>
        <v>281</v>
      </c>
      <c r="AF37" s="104">
        <f>VLOOKUP(3,$A$4:$AZ$32,32,FALSE)</f>
        <v>304</v>
      </c>
      <c r="AG37" s="104">
        <f>VLOOKUP(3,$A$4:$AZ$32,33,FALSE)</f>
        <v>297</v>
      </c>
      <c r="AH37" s="104">
        <f>VLOOKUP(3,$A$4:$AZ$32,34,FALSE)</f>
        <v>276</v>
      </c>
      <c r="AI37" s="104">
        <f>VLOOKUP(3,$A$4:$AZ$32,35,FALSE)</f>
        <v>292</v>
      </c>
    </row>
    <row r="38" spans="1:35" ht="25.5">
      <c r="A38">
        <v>4</v>
      </c>
      <c r="B38" s="78" t="s">
        <v>81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7</v>
      </c>
      <c r="AF38" s="104">
        <f>VLOOKUP(4,$A$4:$AZ$32,32,FALSE)</f>
        <v>6</v>
      </c>
      <c r="AG38" s="104">
        <f>VLOOKUP(4,$A$4:$AZ$32,33,FALSE)</f>
        <v>19</v>
      </c>
      <c r="AH38" s="104">
        <f>VLOOKUP(4,$A$4:$AZ$32,34,FALSE)</f>
        <v>16</v>
      </c>
      <c r="AI38" s="104">
        <f>VLOOKUP(4,$A$4:$AZ$32,35,FALSE)</f>
        <v>25</v>
      </c>
    </row>
    <row r="39" spans="1:35" ht="25.5">
      <c r="A39">
        <v>5</v>
      </c>
      <c r="B39" s="78" t="s">
        <v>82</v>
      </c>
      <c r="C39" s="104">
        <f>VLOOKUP(5,$A$4:$AZ$32,3,FALSE)</f>
        <v>2062</v>
      </c>
      <c r="D39" s="104">
        <f>VLOOKUP(5,$A$4:$AZ$32,4,FALSE)</f>
        <v>2368</v>
      </c>
      <c r="E39" s="104">
        <f>VLOOKUP(5,$A$4:$AZ$32,5,FALSE)</f>
        <v>2258</v>
      </c>
      <c r="F39" s="104">
        <f>VLOOKUP(5,$A$4:$AZ$32,6,FALSE)</f>
        <v>2214</v>
      </c>
      <c r="G39" s="104">
        <f>VLOOKUP(5,$A$4:$AZ$32,7,FALSE)</f>
        <v>2262</v>
      </c>
      <c r="H39" s="104">
        <f>VLOOKUP(5,$A$4:$AZ$32,8,FALSE)</f>
        <v>2368</v>
      </c>
      <c r="I39" s="104">
        <f>VLOOKUP(5,$A$4:$AZ$32,9,FALSE)</f>
        <v>2373</v>
      </c>
      <c r="J39" s="104">
        <f>VLOOKUP(5,$A$4:$AZ$32,10,FALSE)</f>
        <v>2387</v>
      </c>
      <c r="K39" s="104">
        <f>VLOOKUP(5,$A$4:$AZ$32,11,FALSE)</f>
        <v>2452</v>
      </c>
      <c r="L39" s="104">
        <f>VLOOKUP(5,$A$4:$AZ$32,12,FALSE)</f>
        <v>2266</v>
      </c>
      <c r="M39" s="104">
        <f>VLOOKUP(5,$A$4:$AZ$32,13,FALSE)</f>
        <v>2558</v>
      </c>
      <c r="N39" s="104">
        <f>VLOOKUP(5,$A$4:$AZ$32,14,FALSE)</f>
        <v>2515</v>
      </c>
      <c r="O39" s="104">
        <f>VLOOKUP(5,$A$4:$AZ$32,15,FALSE)</f>
        <v>2517</v>
      </c>
      <c r="P39" s="104">
        <f>VLOOKUP(5,$A$4:$AZ$32,16,FALSE)</f>
        <v>2411</v>
      </c>
      <c r="Q39" s="104">
        <f>VLOOKUP(5,$A$4:$AZ$32,17,FALSE)</f>
        <v>2347</v>
      </c>
      <c r="R39" s="104">
        <f>VLOOKUP(5,$A$4:$AZ$32,18,FALSE)</f>
        <v>2399</v>
      </c>
      <c r="S39" s="104">
        <f>VLOOKUP(5,$A$4:$AZ$32,19,FALSE)</f>
        <v>2392</v>
      </c>
      <c r="T39" s="104">
        <f>VLOOKUP(5,$A$4:$AZ$32,20,FALSE)</f>
        <v>2318</v>
      </c>
      <c r="U39" s="104">
        <f>VLOOKUP(5,$A$4:$AZ$32,21,FALSE)</f>
        <v>2367</v>
      </c>
      <c r="V39" s="104">
        <f>VLOOKUP(5,$A$4:$AZ$32,22,FALSE)</f>
        <v>2442</v>
      </c>
      <c r="W39" s="104">
        <f>VLOOKUP(5,$A$4:$AZ$32,23,FALSE)</f>
        <v>2399</v>
      </c>
      <c r="X39" s="104">
        <f>VLOOKUP(5,$A$4:$AZ$32,24,FALSE)</f>
        <v>2313</v>
      </c>
      <c r="Y39" s="104">
        <f>VLOOKUP(5,$A$4:$AZ$32,25,FALSE)</f>
        <v>2413</v>
      </c>
      <c r="Z39" s="104">
        <f>VLOOKUP(5,$A$4:$AZ$32,26,FALSE)</f>
        <v>2216</v>
      </c>
      <c r="AA39" s="104">
        <f>VLOOKUP(5,$A$4:$AZ$32,27,FALSE)</f>
        <v>2317</v>
      </c>
      <c r="AB39" s="104">
        <f>VLOOKUP(5,$A$4:$AZ$32,28,FALSE)</f>
        <v>2345</v>
      </c>
      <c r="AC39" s="104">
        <f>VLOOKUP(5,$A$4:$AZ$32,29,FALSE)</f>
        <v>2230</v>
      </c>
      <c r="AD39" s="104">
        <f>VLOOKUP(5,$A$4:$AZ$32,30,FALSE)</f>
        <v>2330</v>
      </c>
      <c r="AE39" s="104">
        <f>VLOOKUP(5,$A$4:$AZ$32,31,FALSE)</f>
        <v>2246</v>
      </c>
      <c r="AF39" s="104">
        <f>VLOOKUP(5,$A$4:$AZ$32,32,FALSE)</f>
        <v>2386</v>
      </c>
      <c r="AG39" s="104">
        <f>VLOOKUP(5,$A$4:$AZ$32,33,FALSE)</f>
        <v>2314</v>
      </c>
      <c r="AH39" s="104">
        <f>VLOOKUP(5,$A$4:$AZ$32,34,FALSE)</f>
        <v>2221</v>
      </c>
      <c r="AI39" s="104">
        <f>VLOOKUP(5,$A$4:$AZ$32,35,FALSE)</f>
        <v>2395</v>
      </c>
    </row>
    <row r="40" spans="1:35" ht="25.5">
      <c r="A40">
        <v>6</v>
      </c>
      <c r="B40" s="78" t="s">
        <v>83</v>
      </c>
      <c r="C40" s="104">
        <f>VLOOKUP(6,$A$4:$AZ$32,3,FALSE)</f>
        <v>730</v>
      </c>
      <c r="D40" s="104">
        <f>VLOOKUP(6,$A$4:$AZ$32,4,FALSE)</f>
        <v>826</v>
      </c>
      <c r="E40" s="104">
        <f>VLOOKUP(6,$A$4:$AZ$32,5,FALSE)</f>
        <v>805</v>
      </c>
      <c r="F40" s="104">
        <f>VLOOKUP(6,$A$4:$AZ$32,6,FALSE)</f>
        <v>818</v>
      </c>
      <c r="G40" s="104">
        <f>VLOOKUP(6,$A$4:$AZ$32,7,FALSE)</f>
        <v>846</v>
      </c>
      <c r="H40" s="104">
        <f>VLOOKUP(6,$A$4:$AZ$32,8,FALSE)</f>
        <v>840</v>
      </c>
      <c r="I40" s="104">
        <f>VLOOKUP(6,$A$4:$AZ$32,9,FALSE)</f>
        <v>860</v>
      </c>
      <c r="J40" s="104">
        <f>VLOOKUP(6,$A$4:$AZ$32,10,FALSE)</f>
        <v>898</v>
      </c>
      <c r="K40" s="104">
        <f>VLOOKUP(6,$A$4:$AZ$32,11,FALSE)</f>
        <v>902</v>
      </c>
      <c r="L40" s="104">
        <f>VLOOKUP(6,$A$4:$AZ$32,12,FALSE)</f>
        <v>859</v>
      </c>
      <c r="M40" s="104">
        <f>VLOOKUP(6,$A$4:$AZ$32,13,FALSE)</f>
        <v>971</v>
      </c>
      <c r="N40" s="104">
        <f>VLOOKUP(6,$A$4:$AZ$32,14,FALSE)</f>
        <v>972</v>
      </c>
      <c r="O40" s="104">
        <f>VLOOKUP(6,$A$4:$AZ$32,15,FALSE)</f>
        <v>985</v>
      </c>
      <c r="P40" s="104">
        <f>VLOOKUP(6,$A$4:$AZ$32,16,FALSE)</f>
        <v>976</v>
      </c>
      <c r="Q40" s="104">
        <f>VLOOKUP(6,$A$4:$AZ$32,17,FALSE)</f>
        <v>921</v>
      </c>
      <c r="R40" s="104">
        <f>VLOOKUP(6,$A$4:$AZ$32,18,FALSE)</f>
        <v>967</v>
      </c>
      <c r="S40" s="104">
        <f>VLOOKUP(6,$A$4:$AZ$32,19,FALSE)</f>
        <v>968</v>
      </c>
      <c r="T40" s="104">
        <f>VLOOKUP(6,$A$4:$AZ$32,20,FALSE)</f>
        <v>967</v>
      </c>
      <c r="U40" s="104">
        <f>VLOOKUP(6,$A$4:$AZ$32,21,FALSE)</f>
        <v>960</v>
      </c>
      <c r="V40" s="104">
        <f>VLOOKUP(6,$A$4:$AZ$32,22,FALSE)</f>
        <v>967</v>
      </c>
      <c r="W40" s="104">
        <f>VLOOKUP(6,$A$4:$AZ$32,23,FALSE)</f>
        <v>972</v>
      </c>
      <c r="X40" s="104">
        <f>VLOOKUP(6,$A$4:$AZ$32,24,FALSE)</f>
        <v>932</v>
      </c>
      <c r="Y40" s="104">
        <f>VLOOKUP(6,$A$4:$AZ$32,25,FALSE)</f>
        <v>987</v>
      </c>
      <c r="Z40" s="104">
        <f>VLOOKUP(6,$A$4:$AZ$32,26,FALSE)</f>
        <v>932</v>
      </c>
      <c r="AA40" s="104">
        <f>VLOOKUP(6,$A$4:$AZ$32,27,FALSE)</f>
        <v>948</v>
      </c>
      <c r="AB40" s="104">
        <f>VLOOKUP(6,$A$4:$AZ$32,28,FALSE)</f>
        <v>986</v>
      </c>
      <c r="AC40" s="104">
        <f>VLOOKUP(6,$A$4:$AZ$32,29,FALSE)</f>
        <v>922</v>
      </c>
      <c r="AD40" s="104">
        <f>VLOOKUP(6,$A$4:$AZ$32,30,FALSE)</f>
        <v>982</v>
      </c>
      <c r="AE40" s="104">
        <f>VLOOKUP(6,$A$4:$AZ$32,31,FALSE)</f>
        <v>930</v>
      </c>
      <c r="AF40" s="104">
        <f>VLOOKUP(6,$A$4:$AZ$32,32,FALSE)</f>
        <v>980</v>
      </c>
      <c r="AG40" s="104">
        <f>VLOOKUP(6,$A$4:$AZ$32,33,FALSE)</f>
        <v>920</v>
      </c>
      <c r="AH40" s="104">
        <f>VLOOKUP(6,$A$4:$AZ$32,34,FALSE)</f>
        <v>900</v>
      </c>
      <c r="AI40" s="104">
        <f>VLOOKUP(6,$A$4:$AZ$32,35,FALSE)</f>
        <v>1010</v>
      </c>
    </row>
    <row r="41" spans="1:35" ht="12.75">
      <c r="A41">
        <v>7</v>
      </c>
      <c r="B41" s="78" t="s">
        <v>84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10</v>
      </c>
      <c r="AC41" s="104">
        <f>VLOOKUP(7,$A$4:$AZ$32,29,FALSE)</f>
        <v>16</v>
      </c>
      <c r="AD41" s="104">
        <f>VLOOKUP(7,$A$4:$AZ$32,30,FALSE)</f>
        <v>19</v>
      </c>
      <c r="AE41" s="104">
        <f>VLOOKUP(7,$A$4:$AZ$32,31,FALSE)</f>
        <v>34</v>
      </c>
      <c r="AF41" s="104">
        <f>VLOOKUP(7,$A$4:$AZ$32,32,FALSE)</f>
        <v>59</v>
      </c>
      <c r="AG41" s="104">
        <f>VLOOKUP(7,$A$4:$AZ$32,33,FALSE)</f>
        <v>78</v>
      </c>
      <c r="AH41" s="104">
        <f>VLOOKUP(7,$A$4:$AZ$32,34,FALSE)</f>
        <v>95</v>
      </c>
      <c r="AI41" s="104">
        <f>VLOOKUP(7,$A$4:$AZ$32,35,FALSE)</f>
        <v>112</v>
      </c>
    </row>
    <row r="42" spans="1:35" ht="25.5">
      <c r="A42">
        <v>8</v>
      </c>
      <c r="B42" s="78" t="s">
        <v>85</v>
      </c>
      <c r="C42" s="104">
        <f>VLOOKUP(8,$A$4:$AZ$32,3,FALSE)</f>
        <v>125</v>
      </c>
      <c r="D42" s="104">
        <f>VLOOKUP(8,$A$4:$AZ$32,4,FALSE)</f>
        <v>143</v>
      </c>
      <c r="E42" s="104">
        <f>VLOOKUP(8,$A$4:$AZ$32,5,FALSE)</f>
        <v>134</v>
      </c>
      <c r="F42" s="104">
        <f>VLOOKUP(8,$A$4:$AZ$32,6,FALSE)</f>
        <v>128</v>
      </c>
      <c r="G42" s="104">
        <f>VLOOKUP(8,$A$4:$AZ$32,7,FALSE)</f>
        <v>129</v>
      </c>
      <c r="H42" s="104">
        <f>VLOOKUP(8,$A$4:$AZ$32,8,FALSE)</f>
        <v>131</v>
      </c>
      <c r="I42" s="104">
        <f>VLOOKUP(8,$A$4:$AZ$32,9,FALSE)</f>
        <v>132</v>
      </c>
      <c r="J42" s="104">
        <f>VLOOKUP(8,$A$4:$AZ$32,10,FALSE)</f>
        <v>140</v>
      </c>
      <c r="K42" s="104">
        <f>VLOOKUP(8,$A$4:$AZ$32,11,FALSE)</f>
        <v>130</v>
      </c>
      <c r="L42" s="104">
        <f>VLOOKUP(8,$A$4:$AZ$32,12,FALSE)</f>
        <v>133</v>
      </c>
      <c r="M42" s="104">
        <f>VLOOKUP(8,$A$4:$AZ$32,13,FALSE)</f>
        <v>143</v>
      </c>
      <c r="N42" s="104">
        <f>VLOOKUP(8,$A$4:$AZ$32,14,FALSE)</f>
        <v>129</v>
      </c>
      <c r="O42" s="104">
        <f>VLOOKUP(8,$A$4:$AZ$32,15,FALSE)</f>
        <v>143</v>
      </c>
      <c r="P42" s="104">
        <f>VLOOKUP(8,$A$4:$AZ$32,16,FALSE)</f>
        <v>135</v>
      </c>
      <c r="Q42" s="104">
        <f>VLOOKUP(8,$A$4:$AZ$32,17,FALSE)</f>
        <v>125</v>
      </c>
      <c r="R42" s="104">
        <f>VLOOKUP(8,$A$4:$AZ$32,18,FALSE)</f>
        <v>124</v>
      </c>
      <c r="S42" s="104">
        <f>VLOOKUP(8,$A$4:$AZ$32,19,FALSE)</f>
        <v>131</v>
      </c>
      <c r="T42" s="104">
        <f>VLOOKUP(8,$A$4:$AZ$32,20,FALSE)</f>
        <v>132</v>
      </c>
      <c r="U42" s="104">
        <f>VLOOKUP(8,$A$4:$AZ$32,21,FALSE)</f>
        <v>136</v>
      </c>
      <c r="V42" s="104">
        <f>VLOOKUP(8,$A$4:$AZ$32,22,FALSE)</f>
        <v>149</v>
      </c>
      <c r="W42" s="104">
        <f>VLOOKUP(8,$A$4:$AZ$32,23,FALSE)</f>
        <v>148</v>
      </c>
      <c r="X42" s="104">
        <f>VLOOKUP(8,$A$4:$AZ$32,24,FALSE)</f>
        <v>135</v>
      </c>
      <c r="Y42" s="104">
        <f>VLOOKUP(8,$A$4:$AZ$32,25,FALSE)</f>
        <v>157</v>
      </c>
      <c r="Z42" s="104">
        <f>VLOOKUP(8,$A$4:$AZ$32,26,FALSE)</f>
        <v>136</v>
      </c>
      <c r="AA42" s="104">
        <f>VLOOKUP(8,$A$4:$AZ$32,27,FALSE)</f>
        <v>148</v>
      </c>
      <c r="AB42" s="104">
        <f>VLOOKUP(8,$A$4:$AZ$32,28,FALSE)</f>
        <v>144</v>
      </c>
      <c r="AC42" s="104">
        <f>VLOOKUP(8,$A$4:$AZ$32,29,FALSE)</f>
        <v>137</v>
      </c>
      <c r="AD42" s="104">
        <f>VLOOKUP(8,$A$4:$AZ$32,30,FALSE)</f>
        <v>133</v>
      </c>
      <c r="AE42" s="104">
        <f>VLOOKUP(8,$A$4:$AZ$32,31,FALSE)</f>
        <v>135</v>
      </c>
      <c r="AF42" s="104">
        <f>VLOOKUP(8,$A$4:$AZ$32,32,FALSE)</f>
        <v>143</v>
      </c>
      <c r="AG42" s="104">
        <f>VLOOKUP(8,$A$4:$AZ$32,33,FALSE)</f>
        <v>129</v>
      </c>
      <c r="AH42" s="104">
        <f>VLOOKUP(8,$A$4:$AZ$32,34,FALSE)</f>
        <v>120</v>
      </c>
      <c r="AI42" s="104">
        <f>VLOOKUP(8,$A$4:$AZ$32,35,FALSE)</f>
        <v>142</v>
      </c>
    </row>
    <row r="43" spans="1:35" ht="25.5">
      <c r="A43">
        <v>9</v>
      </c>
      <c r="B43" s="78" t="s">
        <v>86</v>
      </c>
      <c r="C43" s="104">
        <f>VLOOKUP(9,$A$4:$AZ$32,3,FALSE)</f>
        <v>270</v>
      </c>
      <c r="D43" s="104">
        <f>VLOOKUP(9,$A$4:$AZ$32,4,FALSE)</f>
        <v>299</v>
      </c>
      <c r="E43" s="104">
        <f>VLOOKUP(9,$A$4:$AZ$32,5,FALSE)</f>
        <v>268</v>
      </c>
      <c r="F43" s="104">
        <f>VLOOKUP(9,$A$4:$AZ$32,6,FALSE)</f>
        <v>273</v>
      </c>
      <c r="G43" s="104">
        <f>VLOOKUP(9,$A$4:$AZ$32,7,FALSE)</f>
        <v>286</v>
      </c>
      <c r="H43" s="104">
        <f>VLOOKUP(9,$A$4:$AZ$32,8,FALSE)</f>
        <v>299</v>
      </c>
      <c r="I43" s="104">
        <f>VLOOKUP(9,$A$4:$AZ$32,9,FALSE)</f>
        <v>311</v>
      </c>
      <c r="J43" s="104">
        <f>VLOOKUP(9,$A$4:$AZ$32,10,FALSE)</f>
        <v>338</v>
      </c>
      <c r="K43" s="104">
        <f>VLOOKUP(9,$A$4:$AZ$32,11,FALSE)</f>
        <v>334</v>
      </c>
      <c r="L43" s="104">
        <f>VLOOKUP(9,$A$4:$AZ$32,12,FALSE)</f>
        <v>315</v>
      </c>
      <c r="M43" s="104">
        <f>VLOOKUP(9,$A$4:$AZ$32,13,FALSE)</f>
        <v>355</v>
      </c>
      <c r="N43" s="104">
        <f>VLOOKUP(9,$A$4:$AZ$32,14,FALSE)</f>
        <v>335</v>
      </c>
      <c r="O43" s="104">
        <f>VLOOKUP(9,$A$4:$AZ$32,15,FALSE)</f>
        <v>374</v>
      </c>
      <c r="P43" s="104">
        <f>VLOOKUP(9,$A$4:$AZ$32,16,FALSE)</f>
        <v>335</v>
      </c>
      <c r="Q43" s="104">
        <f>VLOOKUP(9,$A$4:$AZ$32,17,FALSE)</f>
        <v>320</v>
      </c>
      <c r="R43" s="104">
        <f>VLOOKUP(9,$A$4:$AZ$32,18,FALSE)</f>
        <v>350</v>
      </c>
      <c r="S43" s="104">
        <f>VLOOKUP(9,$A$4:$AZ$32,19,FALSE)</f>
        <v>334</v>
      </c>
      <c r="T43" s="104">
        <f>VLOOKUP(9,$A$4:$AZ$32,20,FALSE)</f>
        <v>314</v>
      </c>
      <c r="U43" s="104">
        <f>VLOOKUP(9,$A$4:$AZ$32,21,FALSE)</f>
        <v>329</v>
      </c>
      <c r="V43" s="104">
        <f>VLOOKUP(9,$A$4:$AZ$32,22,FALSE)</f>
        <v>303</v>
      </c>
      <c r="W43" s="104">
        <f>VLOOKUP(9,$A$4:$AZ$32,23,FALSE)</f>
        <v>307</v>
      </c>
      <c r="X43" s="104">
        <f>VLOOKUP(9,$A$4:$AZ$32,24,FALSE)</f>
        <v>317</v>
      </c>
      <c r="Y43" s="104">
        <f>VLOOKUP(9,$A$4:$AZ$32,25,FALSE)</f>
        <v>302</v>
      </c>
      <c r="Z43" s="104">
        <f>VLOOKUP(9,$A$4:$AZ$32,26,FALSE)</f>
        <v>287</v>
      </c>
      <c r="AA43" s="104">
        <f>VLOOKUP(9,$A$4:$AZ$32,27,FALSE)</f>
        <v>308</v>
      </c>
      <c r="AB43" s="104">
        <f>VLOOKUP(9,$A$4:$AZ$32,28,FALSE)</f>
        <v>297</v>
      </c>
      <c r="AC43" s="104">
        <f>VLOOKUP(9,$A$4:$AZ$32,29,FALSE)</f>
        <v>275</v>
      </c>
      <c r="AD43" s="104">
        <f>VLOOKUP(9,$A$4:$AZ$32,30,FALSE)</f>
        <v>292</v>
      </c>
      <c r="AE43" s="104">
        <f>VLOOKUP(9,$A$4:$AZ$32,31,FALSE)</f>
        <v>286</v>
      </c>
      <c r="AF43" s="104">
        <f>VLOOKUP(9,$A$4:$AZ$32,32,FALSE)</f>
        <v>308</v>
      </c>
      <c r="AG43" s="104">
        <f>VLOOKUP(9,$A$4:$AZ$32,33,FALSE)</f>
        <v>279</v>
      </c>
      <c r="AH43" s="104">
        <f>VLOOKUP(9,$A$4:$AZ$32,34,FALSE)</f>
        <v>267</v>
      </c>
      <c r="AI43" s="104">
        <f>VLOOKUP(9,$A$4:$AZ$32,35,FALSE)</f>
        <v>278</v>
      </c>
    </row>
    <row r="44" spans="1:35" ht="25.5">
      <c r="A44">
        <v>10</v>
      </c>
      <c r="B44" s="78" t="s">
        <v>87</v>
      </c>
      <c r="C44" s="104">
        <f>VLOOKUP(10,$A$4:$AZ$32,3,FALSE)</f>
        <v>231</v>
      </c>
      <c r="D44" s="104">
        <f>VLOOKUP(10,$A$4:$AZ$32,4,FALSE)</f>
        <v>270</v>
      </c>
      <c r="E44" s="104">
        <f>VLOOKUP(10,$A$4:$AZ$32,5,FALSE)</f>
        <v>244</v>
      </c>
      <c r="F44" s="104">
        <f>VLOOKUP(10,$A$4:$AZ$32,6,FALSE)</f>
        <v>256</v>
      </c>
      <c r="G44" s="104">
        <f>VLOOKUP(10,$A$4:$AZ$32,7,FALSE)</f>
        <v>270</v>
      </c>
      <c r="H44" s="104">
        <f>VLOOKUP(10,$A$4:$AZ$32,8,FALSE)</f>
        <v>270</v>
      </c>
      <c r="I44" s="104">
        <f>VLOOKUP(10,$A$4:$AZ$32,9,FALSE)</f>
        <v>283</v>
      </c>
      <c r="J44" s="104">
        <f>VLOOKUP(10,$A$4:$AZ$32,10,FALSE)</f>
        <v>291</v>
      </c>
      <c r="K44" s="104">
        <f>VLOOKUP(10,$A$4:$AZ$32,11,FALSE)</f>
        <v>273</v>
      </c>
      <c r="L44" s="104">
        <f>VLOOKUP(10,$A$4:$AZ$32,12,FALSE)</f>
        <v>258</v>
      </c>
      <c r="M44" s="104">
        <f>VLOOKUP(10,$A$4:$AZ$32,13,FALSE)</f>
        <v>304</v>
      </c>
      <c r="N44" s="104">
        <f>VLOOKUP(10,$A$4:$AZ$32,14,FALSE)</f>
        <v>285</v>
      </c>
      <c r="O44" s="104">
        <f>VLOOKUP(10,$A$4:$AZ$32,15,FALSE)</f>
        <v>314</v>
      </c>
      <c r="P44" s="104">
        <f>VLOOKUP(10,$A$4:$AZ$32,16,FALSE)</f>
        <v>293</v>
      </c>
      <c r="Q44" s="104">
        <f>VLOOKUP(10,$A$4:$AZ$32,17,FALSE)</f>
        <v>278</v>
      </c>
      <c r="R44" s="104">
        <f>VLOOKUP(10,$A$4:$AZ$32,18,FALSE)</f>
        <v>275</v>
      </c>
      <c r="S44" s="104">
        <f>VLOOKUP(10,$A$4:$AZ$32,19,FALSE)</f>
        <v>277</v>
      </c>
      <c r="T44" s="104">
        <f>VLOOKUP(10,$A$4:$AZ$32,20,FALSE)</f>
        <v>286</v>
      </c>
      <c r="U44" s="104">
        <f>VLOOKUP(10,$A$4:$AZ$32,21,FALSE)</f>
        <v>290</v>
      </c>
      <c r="V44" s="104">
        <f>VLOOKUP(10,$A$4:$AZ$32,22,FALSE)</f>
        <v>287</v>
      </c>
      <c r="W44" s="104">
        <f>VLOOKUP(10,$A$4:$AZ$32,23,FALSE)</f>
        <v>295</v>
      </c>
      <c r="X44" s="104">
        <f>VLOOKUP(10,$A$4:$AZ$32,24,FALSE)</f>
        <v>282</v>
      </c>
      <c r="Y44" s="104">
        <f>VLOOKUP(10,$A$4:$AZ$32,25,FALSE)</f>
        <v>286</v>
      </c>
      <c r="Z44" s="104">
        <f>VLOOKUP(10,$A$4:$AZ$32,26,FALSE)</f>
        <v>260</v>
      </c>
      <c r="AA44" s="104">
        <f>VLOOKUP(10,$A$4:$AZ$32,27,FALSE)</f>
        <v>274</v>
      </c>
      <c r="AB44" s="104">
        <f>VLOOKUP(10,$A$4:$AZ$32,28,FALSE)</f>
        <v>279</v>
      </c>
      <c r="AC44" s="104">
        <f>VLOOKUP(10,$A$4:$AZ$32,29,FALSE)</f>
        <v>260</v>
      </c>
      <c r="AD44" s="104">
        <f>VLOOKUP(10,$A$4:$AZ$32,30,FALSE)</f>
        <v>267</v>
      </c>
      <c r="AE44" s="104">
        <f>VLOOKUP(10,$A$4:$AZ$32,31,FALSE)</f>
        <v>244</v>
      </c>
      <c r="AF44" s="104">
        <f>VLOOKUP(10,$A$4:$AZ$32,32,FALSE)</f>
        <v>274</v>
      </c>
      <c r="AG44" s="104">
        <f>VLOOKUP(10,$A$4:$AZ$32,33,FALSE)</f>
        <v>258</v>
      </c>
      <c r="AH44" s="104">
        <f>VLOOKUP(10,$A$4:$AZ$32,34,FALSE)</f>
        <v>261</v>
      </c>
      <c r="AI44" s="104">
        <f>VLOOKUP(10,$A$4:$AZ$32,35,FALSE)</f>
        <v>257</v>
      </c>
    </row>
    <row r="45" spans="1:35" ht="12.75">
      <c r="A45">
        <v>11</v>
      </c>
      <c r="B45" s="78" t="s">
        <v>88</v>
      </c>
      <c r="C45" s="104">
        <f>VLOOKUP(11,$A$4:$AZ$32,3,FALSE)</f>
        <v>1144</v>
      </c>
      <c r="D45" s="104">
        <f>VLOOKUP(11,$A$4:$AZ$32,4,FALSE)</f>
        <v>1307</v>
      </c>
      <c r="E45" s="104">
        <f>VLOOKUP(11,$A$4:$AZ$32,5,FALSE)</f>
        <v>1255</v>
      </c>
      <c r="F45" s="104">
        <f>VLOOKUP(11,$A$4:$AZ$32,6,FALSE)</f>
        <v>1206</v>
      </c>
      <c r="G45" s="104">
        <f>VLOOKUP(11,$A$4:$AZ$32,7,FALSE)</f>
        <v>1249</v>
      </c>
      <c r="H45" s="104">
        <f>VLOOKUP(11,$A$4:$AZ$32,8,FALSE)</f>
        <v>1270</v>
      </c>
      <c r="I45" s="104">
        <f>VLOOKUP(11,$A$4:$AZ$32,9,FALSE)</f>
        <v>1340</v>
      </c>
      <c r="J45" s="104">
        <f>VLOOKUP(11,$A$4:$AZ$32,10,FALSE)</f>
        <v>1344</v>
      </c>
      <c r="K45" s="104">
        <f>VLOOKUP(11,$A$4:$AZ$32,11,FALSE)</f>
        <v>1362</v>
      </c>
      <c r="L45" s="104">
        <f>VLOOKUP(11,$A$4:$AZ$32,12,FALSE)</f>
        <v>1296</v>
      </c>
      <c r="M45" s="104">
        <f>VLOOKUP(11,$A$4:$AZ$32,13,FALSE)</f>
        <v>1485</v>
      </c>
      <c r="N45" s="104">
        <f>VLOOKUP(11,$A$4:$AZ$32,14,FALSE)</f>
        <v>1414</v>
      </c>
      <c r="O45" s="104">
        <f>VLOOKUP(11,$A$4:$AZ$32,15,FALSE)</f>
        <v>1506</v>
      </c>
      <c r="P45" s="104">
        <f>VLOOKUP(11,$A$4:$AZ$32,16,FALSE)</f>
        <v>1450</v>
      </c>
      <c r="Q45" s="104">
        <f>VLOOKUP(11,$A$4:$AZ$32,17,FALSE)</f>
        <v>1386</v>
      </c>
      <c r="R45" s="104">
        <f>VLOOKUP(11,$A$4:$AZ$32,18,FALSE)</f>
        <v>1403</v>
      </c>
      <c r="S45" s="104">
        <f>VLOOKUP(11,$A$4:$AZ$32,19,FALSE)</f>
        <v>1462</v>
      </c>
      <c r="T45" s="104">
        <f>VLOOKUP(11,$A$4:$AZ$32,20,FALSE)</f>
        <v>1421</v>
      </c>
      <c r="U45" s="104">
        <f>VLOOKUP(11,$A$4:$AZ$32,21,FALSE)</f>
        <v>1475</v>
      </c>
      <c r="V45" s="104">
        <f>VLOOKUP(11,$A$4:$AZ$32,22,FALSE)</f>
        <v>1472</v>
      </c>
      <c r="W45" s="104">
        <f>VLOOKUP(11,$A$4:$AZ$32,23,FALSE)</f>
        <v>1426</v>
      </c>
      <c r="X45" s="104">
        <f>VLOOKUP(11,$A$4:$AZ$32,24,FALSE)</f>
        <v>1407</v>
      </c>
      <c r="Y45" s="104">
        <f>VLOOKUP(11,$A$4:$AZ$32,25,FALSE)</f>
        <v>1464</v>
      </c>
      <c r="Z45" s="104">
        <f>VLOOKUP(11,$A$4:$AZ$32,26,FALSE)</f>
        <v>1335</v>
      </c>
      <c r="AA45" s="104">
        <f>VLOOKUP(11,$A$4:$AZ$32,27,FALSE)</f>
        <v>1477</v>
      </c>
      <c r="AB45" s="104">
        <f>VLOOKUP(11,$A$4:$AZ$32,28,FALSE)</f>
        <v>1449</v>
      </c>
      <c r="AC45" s="104">
        <f>VLOOKUP(11,$A$4:$AZ$32,29,FALSE)</f>
        <v>1388</v>
      </c>
      <c r="AD45" s="104">
        <f>VLOOKUP(11,$A$4:$AZ$32,30,FALSE)</f>
        <v>1424</v>
      </c>
      <c r="AE45" s="104">
        <f>VLOOKUP(11,$A$4:$AZ$32,31,FALSE)</f>
        <v>1363</v>
      </c>
      <c r="AF45" s="104">
        <f>VLOOKUP(11,$A$4:$AZ$32,32,FALSE)</f>
        <v>1436</v>
      </c>
      <c r="AG45" s="104">
        <f>VLOOKUP(11,$A$4:$AZ$32,33,FALSE)</f>
        <v>1405</v>
      </c>
      <c r="AH45" s="104">
        <f>VLOOKUP(11,$A$4:$AZ$32,34,FALSE)</f>
        <v>1363</v>
      </c>
      <c r="AI45" s="104">
        <f>VLOOKUP(11,$A$4:$AZ$32,35,FALSE)</f>
        <v>1440</v>
      </c>
    </row>
    <row r="46" spans="1:35" ht="12.75">
      <c r="A46">
        <v>12</v>
      </c>
      <c r="B46" s="78" t="s">
        <v>89</v>
      </c>
      <c r="C46" s="104">
        <f>VLOOKUP(12,$A$4:$AZ$32,3,FALSE)</f>
        <v>438</v>
      </c>
      <c r="D46" s="104">
        <f>VLOOKUP(12,$A$4:$AZ$32,4,FALSE)</f>
        <v>501</v>
      </c>
      <c r="E46" s="104">
        <f>VLOOKUP(12,$A$4:$AZ$32,5,FALSE)</f>
        <v>448</v>
      </c>
      <c r="F46" s="104">
        <f>VLOOKUP(12,$A$4:$AZ$32,6,FALSE)</f>
        <v>484</v>
      </c>
      <c r="G46" s="104">
        <f>VLOOKUP(12,$A$4:$AZ$32,7,FALSE)</f>
        <v>496</v>
      </c>
      <c r="H46" s="104">
        <f>VLOOKUP(12,$A$4:$AZ$32,8,FALSE)</f>
        <v>506</v>
      </c>
      <c r="I46" s="104">
        <f>VLOOKUP(12,$A$4:$AZ$32,9,FALSE)</f>
        <v>526</v>
      </c>
      <c r="J46" s="104">
        <f>VLOOKUP(12,$A$4:$AZ$32,10,FALSE)</f>
        <v>568</v>
      </c>
      <c r="K46" s="104">
        <f>VLOOKUP(12,$A$4:$AZ$32,11,FALSE)</f>
        <v>528</v>
      </c>
      <c r="L46" s="104">
        <f>VLOOKUP(12,$A$4:$AZ$32,12,FALSE)</f>
        <v>501</v>
      </c>
      <c r="M46" s="104">
        <f>VLOOKUP(12,$A$4:$AZ$32,13,FALSE)</f>
        <v>564</v>
      </c>
      <c r="N46" s="104">
        <f>VLOOKUP(12,$A$4:$AZ$32,14,FALSE)</f>
        <v>546</v>
      </c>
      <c r="O46" s="104">
        <f>VLOOKUP(12,$A$4:$AZ$32,15,FALSE)</f>
        <v>568</v>
      </c>
      <c r="P46" s="104">
        <f>VLOOKUP(12,$A$4:$AZ$32,16,FALSE)</f>
        <v>564</v>
      </c>
      <c r="Q46" s="104">
        <f>VLOOKUP(12,$A$4:$AZ$32,17,FALSE)</f>
        <v>545</v>
      </c>
      <c r="R46" s="104">
        <f>VLOOKUP(12,$A$4:$AZ$32,18,FALSE)</f>
        <v>556</v>
      </c>
      <c r="S46" s="104">
        <f>VLOOKUP(12,$A$4:$AZ$32,19,FALSE)</f>
        <v>530</v>
      </c>
      <c r="T46" s="104">
        <f>VLOOKUP(12,$A$4:$AZ$32,20,FALSE)</f>
        <v>536</v>
      </c>
      <c r="U46" s="104">
        <f>VLOOKUP(12,$A$4:$AZ$32,21,FALSE)</f>
        <v>529</v>
      </c>
      <c r="V46" s="104">
        <f>VLOOKUP(12,$A$4:$AZ$32,22,FALSE)</f>
        <v>551</v>
      </c>
      <c r="W46" s="104">
        <f>VLOOKUP(12,$A$4:$AZ$32,23,FALSE)</f>
        <v>532</v>
      </c>
      <c r="X46" s="104">
        <f>VLOOKUP(12,$A$4:$AZ$32,24,FALSE)</f>
        <v>542</v>
      </c>
      <c r="Y46" s="104">
        <f>VLOOKUP(12,$A$4:$AZ$32,25,FALSE)</f>
        <v>560</v>
      </c>
      <c r="Z46" s="104">
        <f>VLOOKUP(12,$A$4:$AZ$32,26,FALSE)</f>
        <v>503</v>
      </c>
      <c r="AA46" s="104">
        <f>VLOOKUP(12,$A$4:$AZ$32,27,FALSE)</f>
        <v>553</v>
      </c>
      <c r="AB46" s="104">
        <f>VLOOKUP(12,$A$4:$AZ$32,28,FALSE)</f>
        <v>545</v>
      </c>
      <c r="AC46" s="104">
        <f>VLOOKUP(12,$A$4:$AZ$32,29,FALSE)</f>
        <v>510</v>
      </c>
      <c r="AD46" s="104">
        <f>VLOOKUP(12,$A$4:$AZ$32,30,FALSE)</f>
        <v>550</v>
      </c>
      <c r="AE46" s="104">
        <f>VLOOKUP(12,$A$4:$AZ$32,31,FALSE)</f>
        <v>522</v>
      </c>
      <c r="AF46" s="104">
        <f>VLOOKUP(12,$A$4:$AZ$32,32,FALSE)</f>
        <v>537</v>
      </c>
      <c r="AG46" s="104">
        <f>VLOOKUP(12,$A$4:$AZ$32,33,FALSE)</f>
        <v>538</v>
      </c>
      <c r="AH46" s="104">
        <f>VLOOKUP(12,$A$4:$AZ$32,34,FALSE)</f>
        <v>518</v>
      </c>
      <c r="AI46" s="104">
        <f>VLOOKUP(12,$A$4:$AZ$32,35,FALSE)</f>
        <v>554</v>
      </c>
    </row>
    <row r="47" spans="1:35" ht="12.75">
      <c r="A47">
        <v>13</v>
      </c>
      <c r="B47" s="78" t="s">
        <v>90</v>
      </c>
      <c r="C47" s="104">
        <f>VLOOKUP(13,$A$4:$AZ$32,3,FALSE)</f>
        <v>387</v>
      </c>
      <c r="D47" s="104">
        <f>VLOOKUP(13,$A$4:$AZ$32,4,FALSE)</f>
        <v>445</v>
      </c>
      <c r="E47" s="104">
        <f>VLOOKUP(13,$A$4:$AZ$32,5,FALSE)</f>
        <v>412</v>
      </c>
      <c r="F47" s="104">
        <f>VLOOKUP(13,$A$4:$AZ$32,6,FALSE)</f>
        <v>423</v>
      </c>
      <c r="G47" s="104">
        <f>VLOOKUP(13,$A$4:$AZ$32,7,FALSE)</f>
        <v>424</v>
      </c>
      <c r="H47" s="104">
        <f>VLOOKUP(13,$A$4:$AZ$32,8,FALSE)</f>
        <v>422</v>
      </c>
      <c r="I47" s="104">
        <f>VLOOKUP(13,$A$4:$AZ$32,9,FALSE)</f>
        <v>431</v>
      </c>
      <c r="J47" s="104">
        <f>VLOOKUP(13,$A$4:$AZ$32,10,FALSE)</f>
        <v>431</v>
      </c>
      <c r="K47" s="104">
        <f>VLOOKUP(13,$A$4:$AZ$32,11,FALSE)</f>
        <v>429</v>
      </c>
      <c r="L47" s="104">
        <f>VLOOKUP(13,$A$4:$AZ$32,12,FALSE)</f>
        <v>409</v>
      </c>
      <c r="M47" s="104">
        <f>VLOOKUP(13,$A$4:$AZ$32,13,FALSE)</f>
        <v>450</v>
      </c>
      <c r="N47" s="104">
        <f>VLOOKUP(13,$A$4:$AZ$32,14,FALSE)</f>
        <v>413</v>
      </c>
      <c r="O47" s="104">
        <f>VLOOKUP(13,$A$4:$AZ$32,15,FALSE)</f>
        <v>430</v>
      </c>
      <c r="P47" s="104">
        <f>VLOOKUP(13,$A$4:$AZ$32,16,FALSE)</f>
        <v>438</v>
      </c>
      <c r="Q47" s="104">
        <f>VLOOKUP(13,$A$4:$AZ$32,17,FALSE)</f>
        <v>419</v>
      </c>
      <c r="R47" s="104">
        <f>VLOOKUP(13,$A$4:$AZ$32,18,FALSE)</f>
        <v>440</v>
      </c>
      <c r="S47" s="104">
        <f>VLOOKUP(13,$A$4:$AZ$32,19,FALSE)</f>
        <v>444</v>
      </c>
      <c r="T47" s="104">
        <f>VLOOKUP(13,$A$4:$AZ$32,20,FALSE)</f>
        <v>426</v>
      </c>
      <c r="U47" s="104">
        <f>VLOOKUP(13,$A$4:$AZ$32,21,FALSE)</f>
        <v>455</v>
      </c>
      <c r="V47" s="104">
        <f>VLOOKUP(13,$A$4:$AZ$32,22,FALSE)</f>
        <v>457</v>
      </c>
      <c r="W47" s="104">
        <f>VLOOKUP(13,$A$4:$AZ$32,23,FALSE)</f>
        <v>451</v>
      </c>
      <c r="X47" s="104">
        <f>VLOOKUP(13,$A$4:$AZ$32,24,FALSE)</f>
        <v>424</v>
      </c>
      <c r="Y47" s="104">
        <f>VLOOKUP(13,$A$4:$AZ$32,25,FALSE)</f>
        <v>464</v>
      </c>
      <c r="Z47" s="104">
        <f>VLOOKUP(13,$A$4:$AZ$32,26,FALSE)</f>
        <v>421</v>
      </c>
      <c r="AA47" s="104">
        <f>VLOOKUP(13,$A$4:$AZ$32,27,FALSE)</f>
        <v>449</v>
      </c>
      <c r="AB47" s="104">
        <f>VLOOKUP(13,$A$4:$AZ$32,28,FALSE)</f>
        <v>457</v>
      </c>
      <c r="AC47" s="104">
        <f>VLOOKUP(13,$A$4:$AZ$32,29,FALSE)</f>
        <v>432</v>
      </c>
      <c r="AD47" s="104">
        <f>VLOOKUP(13,$A$4:$AZ$32,30,FALSE)</f>
        <v>434</v>
      </c>
      <c r="AE47" s="104">
        <f>VLOOKUP(13,$A$4:$AZ$32,31,FALSE)</f>
        <v>436</v>
      </c>
      <c r="AF47" s="104">
        <f>VLOOKUP(13,$A$4:$AZ$32,32,FALSE)</f>
        <v>462</v>
      </c>
      <c r="AG47" s="104">
        <f>VLOOKUP(13,$A$4:$AZ$32,33,FALSE)</f>
        <v>432</v>
      </c>
      <c r="AH47" s="104">
        <f>VLOOKUP(13,$A$4:$AZ$32,34,FALSE)</f>
        <v>412</v>
      </c>
      <c r="AI47" s="104">
        <f>VLOOKUP(13,$A$4:$AZ$32,35,FALSE)</f>
        <v>452</v>
      </c>
    </row>
    <row r="48" spans="1:35" ht="12.75">
      <c r="A48">
        <v>14</v>
      </c>
      <c r="B48" s="78" t="s">
        <v>91</v>
      </c>
      <c r="C48" s="104">
        <f>VLOOKUP(14,$A$4:$AZ$32,3,FALSE)</f>
        <v>20</v>
      </c>
      <c r="D48" s="104">
        <f>VLOOKUP(14,$A$4:$AZ$32,4,FALSE)</f>
        <v>28</v>
      </c>
      <c r="E48" s="104">
        <f>VLOOKUP(14,$A$4:$AZ$32,5,FALSE)</f>
        <v>20</v>
      </c>
      <c r="F48" s="104">
        <f>VLOOKUP(14,$A$4:$AZ$32,6,FALSE)</f>
        <v>22</v>
      </c>
      <c r="G48" s="104">
        <f>VLOOKUP(14,$A$4:$AZ$32,7,FALSE)</f>
        <v>25</v>
      </c>
      <c r="H48" s="104">
        <f>VLOOKUP(14,$A$4:$AZ$32,8,FALSE)</f>
        <v>28</v>
      </c>
      <c r="I48" s="104">
        <f>VLOOKUP(14,$A$4:$AZ$32,9,FALSE)</f>
        <v>36</v>
      </c>
      <c r="J48" s="104">
        <f>VLOOKUP(14,$A$4:$AZ$32,10,FALSE)</f>
        <v>37</v>
      </c>
      <c r="K48" s="104">
        <f>VLOOKUP(14,$A$4:$AZ$32,11,FALSE)</f>
        <v>42</v>
      </c>
      <c r="L48" s="104">
        <f>VLOOKUP(14,$A$4:$AZ$32,12,FALSE)</f>
        <v>42</v>
      </c>
      <c r="M48" s="104">
        <f>VLOOKUP(14,$A$4:$AZ$32,13,FALSE)</f>
        <v>39</v>
      </c>
      <c r="N48" s="104">
        <f>VLOOKUP(14,$A$4:$AZ$32,14,FALSE)</f>
        <v>44</v>
      </c>
      <c r="O48" s="104">
        <f>VLOOKUP(14,$A$4:$AZ$32,15,FALSE)</f>
        <v>38</v>
      </c>
      <c r="P48" s="104">
        <f>VLOOKUP(14,$A$4:$AZ$32,16,FALSE)</f>
        <v>44</v>
      </c>
      <c r="Q48" s="104">
        <f>VLOOKUP(14,$A$4:$AZ$32,17,FALSE)</f>
        <v>40</v>
      </c>
      <c r="R48" s="104">
        <f>VLOOKUP(14,$A$4:$AZ$32,18,FALSE)</f>
        <v>37</v>
      </c>
      <c r="S48" s="104">
        <f>VLOOKUP(14,$A$4:$AZ$32,19,FALSE)</f>
        <v>43</v>
      </c>
      <c r="T48" s="104">
        <f>VLOOKUP(14,$A$4:$AZ$32,20,FALSE)</f>
        <v>34</v>
      </c>
      <c r="U48" s="104">
        <f>VLOOKUP(14,$A$4:$AZ$32,21,FALSE)</f>
        <v>29</v>
      </c>
      <c r="V48" s="104">
        <f>VLOOKUP(14,$A$4:$AZ$32,22,FALSE)</f>
        <v>34</v>
      </c>
      <c r="W48" s="104">
        <f>VLOOKUP(14,$A$4:$AZ$32,23,FALSE)</f>
        <v>35</v>
      </c>
      <c r="X48" s="104">
        <f>VLOOKUP(14,$A$4:$AZ$32,24,FALSE)</f>
        <v>35</v>
      </c>
      <c r="Y48" s="104">
        <f>VLOOKUP(14,$A$4:$AZ$32,25,FALSE)</f>
        <v>40</v>
      </c>
      <c r="Z48" s="104">
        <f>VLOOKUP(14,$A$4:$AZ$32,26,FALSE)</f>
        <v>34</v>
      </c>
      <c r="AA48" s="104">
        <f>VLOOKUP(14,$A$4:$AZ$32,27,FALSE)</f>
        <v>37</v>
      </c>
      <c r="AB48" s="104">
        <f>VLOOKUP(14,$A$4:$AZ$32,28,FALSE)</f>
        <v>36</v>
      </c>
      <c r="AC48" s="104">
        <f>VLOOKUP(14,$A$4:$AZ$32,29,FALSE)</f>
        <v>37</v>
      </c>
      <c r="AD48" s="104">
        <f>VLOOKUP(14,$A$4:$AZ$32,30,FALSE)</f>
        <v>43</v>
      </c>
      <c r="AE48" s="104">
        <f>VLOOKUP(14,$A$4:$AZ$32,31,FALSE)</f>
        <v>46</v>
      </c>
      <c r="AF48" s="104">
        <f>VLOOKUP(14,$A$4:$AZ$32,32,FALSE)</f>
        <v>43</v>
      </c>
      <c r="AG48" s="104">
        <f>VLOOKUP(14,$A$4:$AZ$32,33,FALSE)</f>
        <v>47</v>
      </c>
      <c r="AH48" s="104">
        <f>VLOOKUP(14,$A$4:$AZ$32,34,FALSE)</f>
        <v>57</v>
      </c>
      <c r="AI48" s="104">
        <f>VLOOKUP(14,$A$4:$AZ$32,35,FALSE)</f>
        <v>61</v>
      </c>
    </row>
    <row r="49" spans="1:35" ht="12.75">
      <c r="A49">
        <v>15</v>
      </c>
      <c r="B49" s="78" t="s">
        <v>92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71</v>
      </c>
      <c r="Y49" s="104">
        <f>VLOOKUP(15,$A$4:$AZ$32,25,FALSE)</f>
        <v>179</v>
      </c>
      <c r="Z49" s="104">
        <f>VLOOKUP(15,$A$4:$AZ$32,26,FALSE)</f>
        <v>230</v>
      </c>
      <c r="AA49" s="104">
        <f>VLOOKUP(15,$A$4:$AZ$32,27,FALSE)</f>
        <v>317</v>
      </c>
      <c r="AB49" s="104">
        <f>VLOOKUP(15,$A$4:$AZ$32,28,FALSE)</f>
        <v>399</v>
      </c>
      <c r="AC49" s="104">
        <f>VLOOKUP(15,$A$4:$AZ$32,29,FALSE)</f>
        <v>414</v>
      </c>
      <c r="AD49" s="104">
        <f>VLOOKUP(15,$A$4:$AZ$32,30,FALSE)</f>
        <v>462</v>
      </c>
      <c r="AE49" s="104">
        <f>VLOOKUP(15,$A$4:$AZ$32,31,FALSE)</f>
        <v>481</v>
      </c>
      <c r="AF49" s="104">
        <f>VLOOKUP(15,$A$4:$AZ$32,32,FALSE)</f>
        <v>553</v>
      </c>
      <c r="AG49" s="104">
        <f>VLOOKUP(15,$A$4:$AZ$32,33,FALSE)</f>
        <v>574</v>
      </c>
      <c r="AH49" s="104">
        <f>VLOOKUP(15,$A$4:$AZ$32,34,FALSE)</f>
        <v>563</v>
      </c>
      <c r="AI49" s="104">
        <f>VLOOKUP(15,$A$4:$AZ$32,35,FALSE)</f>
        <v>677</v>
      </c>
    </row>
    <row r="50" spans="1:35" ht="12.75">
      <c r="A50">
        <v>16</v>
      </c>
      <c r="B50" s="78" t="s">
        <v>93</v>
      </c>
      <c r="C50" s="104">
        <f>VLOOKUP(16,$A$4:$AZ$32,3,FALSE)</f>
        <v>193</v>
      </c>
      <c r="D50" s="104">
        <f>VLOOKUP(16,$A$4:$AZ$32,4,FALSE)</f>
        <v>287</v>
      </c>
      <c r="E50" s="104">
        <f>VLOOKUP(16,$A$4:$AZ$32,5,FALSE)</f>
        <v>302</v>
      </c>
      <c r="F50" s="104">
        <f>VLOOKUP(16,$A$4:$AZ$32,6,FALSE)</f>
        <v>325</v>
      </c>
      <c r="G50" s="104">
        <f>VLOOKUP(16,$A$4:$AZ$32,7,FALSE)</f>
        <v>351</v>
      </c>
      <c r="H50" s="104">
        <f>VLOOKUP(16,$A$4:$AZ$32,8,FALSE)</f>
        <v>321</v>
      </c>
      <c r="I50" s="104">
        <f>VLOOKUP(16,$A$4:$AZ$32,9,FALSE)</f>
        <v>305</v>
      </c>
      <c r="J50" s="104">
        <f>VLOOKUP(16,$A$4:$AZ$32,10,FALSE)</f>
        <v>312</v>
      </c>
      <c r="K50" s="104">
        <f>VLOOKUP(16,$A$4:$AZ$32,11,FALSE)</f>
        <v>302</v>
      </c>
      <c r="L50" s="104">
        <f>VLOOKUP(16,$A$4:$AZ$32,12,FALSE)</f>
        <v>325</v>
      </c>
      <c r="M50" s="104">
        <f>VLOOKUP(16,$A$4:$AZ$32,13,FALSE)</f>
        <v>364</v>
      </c>
      <c r="N50" s="104">
        <f>VLOOKUP(16,$A$4:$AZ$32,14,FALSE)</f>
        <v>362</v>
      </c>
      <c r="O50" s="104">
        <f>VLOOKUP(16,$A$4:$AZ$32,15,FALSE)</f>
        <v>400</v>
      </c>
      <c r="P50" s="104">
        <f>VLOOKUP(16,$A$4:$AZ$32,16,FALSE)</f>
        <v>423</v>
      </c>
      <c r="Q50" s="104">
        <f>VLOOKUP(16,$A$4:$AZ$32,17,FALSE)</f>
        <v>416</v>
      </c>
      <c r="R50" s="104">
        <f>VLOOKUP(16,$A$4:$AZ$32,18,FALSE)</f>
        <v>425</v>
      </c>
      <c r="S50" s="104">
        <f>VLOOKUP(16,$A$4:$AZ$32,19,FALSE)</f>
        <v>444</v>
      </c>
      <c r="T50" s="104">
        <f>VLOOKUP(16,$A$4:$AZ$32,20,FALSE)</f>
        <v>427</v>
      </c>
      <c r="U50" s="104">
        <f>VLOOKUP(16,$A$4:$AZ$32,21,FALSE)</f>
        <v>455</v>
      </c>
      <c r="V50" s="104">
        <f>VLOOKUP(16,$A$4:$AZ$32,22,FALSE)</f>
        <v>487</v>
      </c>
      <c r="W50" s="104">
        <f>VLOOKUP(16,$A$4:$AZ$32,23,FALSE)</f>
        <v>484</v>
      </c>
      <c r="X50" s="104">
        <f>VLOOKUP(16,$A$4:$AZ$32,24,FALSE)</f>
        <v>486</v>
      </c>
      <c r="Y50" s="104">
        <f>VLOOKUP(16,$A$4:$AZ$32,25,FALSE)</f>
        <v>532</v>
      </c>
      <c r="Z50" s="104">
        <f>VLOOKUP(16,$A$4:$AZ$32,26,FALSE)</f>
        <v>478</v>
      </c>
      <c r="AA50" s="104">
        <f>VLOOKUP(16,$A$4:$AZ$32,27,FALSE)</f>
        <v>542</v>
      </c>
      <c r="AB50" s="104">
        <f>VLOOKUP(16,$A$4:$AZ$32,28,FALSE)</f>
        <v>575</v>
      </c>
      <c r="AC50" s="104">
        <f>VLOOKUP(16,$A$4:$AZ$32,29,FALSE)</f>
        <v>538</v>
      </c>
      <c r="AD50" s="104">
        <f>VLOOKUP(16,$A$4:$AZ$32,30,FALSE)</f>
        <v>585</v>
      </c>
      <c r="AE50" s="104">
        <f>VLOOKUP(16,$A$4:$AZ$32,31,FALSE)</f>
        <v>546</v>
      </c>
      <c r="AF50" s="104">
        <f>VLOOKUP(16,$A$4:$AZ$32,32,FALSE)</f>
        <v>590</v>
      </c>
      <c r="AG50" s="104">
        <f>VLOOKUP(16,$A$4:$AZ$32,33,FALSE)</f>
        <v>582</v>
      </c>
      <c r="AH50" s="104">
        <f>VLOOKUP(16,$A$4:$AZ$32,34,FALSE)</f>
        <v>570</v>
      </c>
      <c r="AI50" s="104">
        <f>VLOOKUP(16,$A$4:$AZ$32,35,FALSE)</f>
        <v>608</v>
      </c>
    </row>
    <row r="51" spans="1:35" ht="12.75">
      <c r="A51">
        <v>17</v>
      </c>
      <c r="B51" s="78" t="s">
        <v>94</v>
      </c>
      <c r="C51" s="104">
        <f>VLOOKUP(17,$A$4:$AZ$32,3,FALSE)</f>
        <v>14</v>
      </c>
      <c r="D51" s="104">
        <f>VLOOKUP(17,$A$4:$AZ$32,4,FALSE)</f>
        <v>17</v>
      </c>
      <c r="E51" s="104">
        <f>VLOOKUP(17,$A$4:$AZ$32,5,FALSE)</f>
        <v>17</v>
      </c>
      <c r="F51" s="104">
        <f>VLOOKUP(17,$A$4:$AZ$32,6,FALSE)</f>
        <v>21</v>
      </c>
      <c r="G51" s="104">
        <f>VLOOKUP(17,$A$4:$AZ$32,7,FALSE)</f>
        <v>27</v>
      </c>
      <c r="H51" s="104">
        <f>VLOOKUP(17,$A$4:$AZ$32,8,FALSE)</f>
        <v>23</v>
      </c>
      <c r="I51" s="104">
        <f>VLOOKUP(17,$A$4:$AZ$32,9,FALSE)</f>
        <v>22</v>
      </c>
      <c r="J51" s="104">
        <f>VLOOKUP(17,$A$4:$AZ$32,10,FALSE)</f>
        <v>30</v>
      </c>
      <c r="K51" s="104">
        <f>VLOOKUP(17,$A$4:$AZ$32,11,FALSE)</f>
        <v>28</v>
      </c>
      <c r="L51" s="104">
        <f>VLOOKUP(17,$A$4:$AZ$32,12,FALSE)</f>
        <v>29</v>
      </c>
      <c r="M51" s="104">
        <f>VLOOKUP(17,$A$4:$AZ$32,13,FALSE)</f>
        <v>37</v>
      </c>
      <c r="N51" s="104">
        <f>VLOOKUP(17,$A$4:$AZ$32,14,FALSE)</f>
        <v>33</v>
      </c>
      <c r="O51" s="104">
        <f>VLOOKUP(17,$A$4:$AZ$32,15,FALSE)</f>
        <v>40</v>
      </c>
      <c r="P51" s="104">
        <f>VLOOKUP(17,$A$4:$AZ$32,16,FALSE)</f>
        <v>41</v>
      </c>
      <c r="Q51" s="104">
        <f>VLOOKUP(17,$A$4:$AZ$32,17,FALSE)</f>
        <v>46</v>
      </c>
      <c r="R51" s="104">
        <f>VLOOKUP(17,$A$4:$AZ$32,18,FALSE)</f>
        <v>42</v>
      </c>
      <c r="S51" s="104">
        <f>VLOOKUP(17,$A$4:$AZ$32,19,FALSE)</f>
        <v>38</v>
      </c>
      <c r="T51" s="104">
        <f>VLOOKUP(17,$A$4:$AZ$32,20,FALSE)</f>
        <v>44</v>
      </c>
      <c r="U51" s="104">
        <f>VLOOKUP(17,$A$4:$AZ$32,21,FALSE)</f>
        <v>44</v>
      </c>
      <c r="V51" s="104">
        <f>VLOOKUP(17,$A$4:$AZ$32,22,FALSE)</f>
        <v>47</v>
      </c>
      <c r="W51" s="104">
        <f>VLOOKUP(17,$A$4:$AZ$32,23,FALSE)</f>
        <v>48</v>
      </c>
      <c r="X51" s="104">
        <f>VLOOKUP(17,$A$4:$AZ$32,24,FALSE)</f>
        <v>51</v>
      </c>
      <c r="Y51" s="104">
        <f>VLOOKUP(17,$A$4:$AZ$32,25,FALSE)</f>
        <v>44</v>
      </c>
      <c r="Z51" s="104">
        <f>VLOOKUP(17,$A$4:$AZ$32,26,FALSE)</f>
        <v>46</v>
      </c>
      <c r="AA51" s="104">
        <f>VLOOKUP(17,$A$4:$AZ$32,27,FALSE)</f>
        <v>54</v>
      </c>
      <c r="AB51" s="104">
        <f>VLOOKUP(17,$A$4:$AZ$32,28,FALSE)</f>
        <v>59</v>
      </c>
      <c r="AC51" s="104">
        <f>VLOOKUP(17,$A$4:$AZ$32,29,FALSE)</f>
        <v>48</v>
      </c>
      <c r="AD51" s="104">
        <f>VLOOKUP(17,$A$4:$AZ$32,30,FALSE)</f>
        <v>58</v>
      </c>
      <c r="AE51" s="104">
        <f>VLOOKUP(17,$A$4:$AZ$32,31,FALSE)</f>
        <v>59</v>
      </c>
      <c r="AF51" s="104">
        <f>VLOOKUP(17,$A$4:$AZ$32,32,FALSE)</f>
        <v>57</v>
      </c>
      <c r="AG51" s="104">
        <f>VLOOKUP(17,$A$4:$AZ$32,33,FALSE)</f>
        <v>61</v>
      </c>
      <c r="AH51" s="104">
        <f>VLOOKUP(17,$A$4:$AZ$32,34,FALSE)</f>
        <v>72</v>
      </c>
      <c r="AI51" s="104">
        <f>VLOOKUP(17,$A$4:$AZ$32,35,FALSE)</f>
        <v>70</v>
      </c>
    </row>
    <row r="52" spans="1:35" ht="12.75">
      <c r="A52">
        <v>18</v>
      </c>
      <c r="B52" s="78" t="s">
        <v>95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23</v>
      </c>
      <c r="L52" s="104">
        <f>VLOOKUP(18,$A$4:$AZ$32,12,FALSE)</f>
        <v>62</v>
      </c>
      <c r="M52" s="104">
        <f>VLOOKUP(18,$A$4:$AZ$32,13,FALSE)</f>
        <v>131</v>
      </c>
      <c r="N52" s="104">
        <f>VLOOKUP(18,$A$4:$AZ$32,14,FALSE)</f>
        <v>159</v>
      </c>
      <c r="O52" s="104">
        <f>VLOOKUP(18,$A$4:$AZ$32,15,FALSE)</f>
        <v>221</v>
      </c>
      <c r="P52" s="104">
        <f>VLOOKUP(18,$A$4:$AZ$32,16,FALSE)</f>
        <v>226</v>
      </c>
      <c r="Q52" s="104">
        <f>VLOOKUP(18,$A$4:$AZ$32,17,FALSE)</f>
        <v>246</v>
      </c>
      <c r="R52" s="104">
        <f>VLOOKUP(18,$A$4:$AZ$32,18,FALSE)</f>
        <v>249</v>
      </c>
      <c r="S52" s="104">
        <f>VLOOKUP(18,$A$4:$AZ$32,19,FALSE)</f>
        <v>264</v>
      </c>
      <c r="T52" s="104">
        <f>VLOOKUP(18,$A$4:$AZ$32,20,FALSE)</f>
        <v>294</v>
      </c>
      <c r="U52" s="104">
        <f>VLOOKUP(18,$A$4:$AZ$32,21,FALSE)</f>
        <v>306</v>
      </c>
      <c r="V52" s="104">
        <f>VLOOKUP(18,$A$4:$AZ$32,22,FALSE)</f>
        <v>325</v>
      </c>
      <c r="W52" s="104">
        <f>VLOOKUP(18,$A$4:$AZ$32,23,FALSE)</f>
        <v>339</v>
      </c>
      <c r="X52" s="104">
        <f>VLOOKUP(18,$A$4:$AZ$32,24,FALSE)</f>
        <v>350</v>
      </c>
      <c r="Y52" s="104">
        <f>VLOOKUP(18,$A$4:$AZ$32,25,FALSE)</f>
        <v>378</v>
      </c>
      <c r="Z52" s="104">
        <f>VLOOKUP(18,$A$4:$AZ$32,26,FALSE)</f>
        <v>364</v>
      </c>
      <c r="AA52" s="104">
        <f>VLOOKUP(18,$A$4:$AZ$32,27,FALSE)</f>
        <v>393</v>
      </c>
      <c r="AB52" s="104">
        <f>VLOOKUP(18,$A$4:$AZ$32,28,FALSE)</f>
        <v>410</v>
      </c>
      <c r="AC52" s="104">
        <f>VLOOKUP(18,$A$4:$AZ$32,29,FALSE)</f>
        <v>393</v>
      </c>
      <c r="AD52" s="104">
        <f>VLOOKUP(18,$A$4:$AZ$32,30,FALSE)</f>
        <v>410</v>
      </c>
      <c r="AE52" s="104">
        <f>VLOOKUP(18,$A$4:$AZ$32,31,FALSE)</f>
        <v>382</v>
      </c>
      <c r="AF52" s="104">
        <f>VLOOKUP(18,$A$4:$AZ$32,32,FALSE)</f>
        <v>398</v>
      </c>
      <c r="AG52" s="104">
        <f>VLOOKUP(18,$A$4:$AZ$32,33,FALSE)</f>
        <v>399</v>
      </c>
      <c r="AH52" s="104">
        <f>VLOOKUP(18,$A$4:$AZ$32,34,FALSE)</f>
        <v>384</v>
      </c>
      <c r="AI52" s="104">
        <f>VLOOKUP(18,$A$4:$AZ$32,35,FALSE)</f>
        <v>431</v>
      </c>
    </row>
    <row r="53" spans="1:35" ht="12.75">
      <c r="A53">
        <v>19</v>
      </c>
      <c r="B53" s="78" t="s">
        <v>96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8</v>
      </c>
      <c r="X53" s="104">
        <f>VLOOKUP(19,$A$4:$AZ$32,24,FALSE)</f>
        <v>27</v>
      </c>
      <c r="Y53" s="104">
        <f>VLOOKUP(19,$A$4:$AZ$32,25,FALSE)</f>
        <v>65</v>
      </c>
      <c r="Z53" s="104">
        <f>VLOOKUP(19,$A$4:$AZ$32,26,FALSE)</f>
        <v>81</v>
      </c>
      <c r="AA53" s="104">
        <f>VLOOKUP(19,$A$4:$AZ$32,27,FALSE)</f>
        <v>138</v>
      </c>
      <c r="AB53" s="104">
        <f>VLOOKUP(19,$A$4:$AZ$32,28,FALSE)</f>
        <v>142</v>
      </c>
      <c r="AC53" s="104">
        <f>VLOOKUP(19,$A$4:$AZ$32,29,FALSE)</f>
        <v>141</v>
      </c>
      <c r="AD53" s="104">
        <f>VLOOKUP(19,$A$4:$AZ$32,30,FALSE)</f>
        <v>163</v>
      </c>
      <c r="AE53" s="104">
        <f>VLOOKUP(19,$A$4:$AZ$32,31,FALSE)</f>
        <v>184</v>
      </c>
      <c r="AF53" s="104">
        <f>VLOOKUP(19,$A$4:$AZ$32,32,FALSE)</f>
        <v>181</v>
      </c>
      <c r="AG53" s="104">
        <f>VLOOKUP(19,$A$4:$AZ$32,33,FALSE)</f>
        <v>176</v>
      </c>
      <c r="AH53" s="104">
        <f>VLOOKUP(19,$A$4:$AZ$32,34,FALSE)</f>
        <v>193</v>
      </c>
      <c r="AI53" s="104">
        <f>VLOOKUP(19,$A$4:$AZ$32,35,FALSE)</f>
        <v>221</v>
      </c>
    </row>
    <row r="54" spans="1:35" ht="12.75">
      <c r="A54">
        <v>20</v>
      </c>
      <c r="B54" s="78" t="s">
        <v>97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10</v>
      </c>
      <c r="Y54" s="104">
        <f>VLOOKUP(20,$A$4:$AZ$32,25,FALSE)</f>
        <v>28</v>
      </c>
      <c r="Z54" s="104">
        <f>VLOOKUP(20,$A$4:$AZ$32,26,FALSE)</f>
        <v>30</v>
      </c>
      <c r="AA54" s="104">
        <f>VLOOKUP(20,$A$4:$AZ$32,27,FALSE)</f>
        <v>49</v>
      </c>
      <c r="AB54" s="104">
        <f>VLOOKUP(20,$A$4:$AZ$32,28,FALSE)</f>
        <v>56</v>
      </c>
      <c r="AC54" s="104">
        <f>VLOOKUP(20,$A$4:$AZ$32,29,FALSE)</f>
        <v>56</v>
      </c>
      <c r="AD54" s="104">
        <f>VLOOKUP(20,$A$4:$AZ$32,30,FALSE)</f>
        <v>61</v>
      </c>
      <c r="AE54" s="104">
        <f>VLOOKUP(20,$A$4:$AZ$32,31,FALSE)</f>
        <v>64</v>
      </c>
      <c r="AF54" s="104">
        <f>VLOOKUP(20,$A$4:$AZ$32,32,FALSE)</f>
        <v>67</v>
      </c>
      <c r="AG54" s="104">
        <f>VLOOKUP(20,$A$4:$AZ$32,33,FALSE)</f>
        <v>85</v>
      </c>
      <c r="AH54" s="104">
        <f>VLOOKUP(20,$A$4:$AZ$32,34,FALSE)</f>
        <v>90</v>
      </c>
      <c r="AI54" s="104">
        <f>VLOOKUP(20,$A$4:$AZ$32,35,FALSE)</f>
        <v>93</v>
      </c>
    </row>
    <row r="55" spans="1:35" ht="12.75">
      <c r="A55">
        <v>21</v>
      </c>
      <c r="B55" s="78" t="s">
        <v>98</v>
      </c>
      <c r="C55" s="104">
        <f>VLOOKUP(21,$A$4:$AZ$32,3,FALSE)</f>
        <v>39</v>
      </c>
      <c r="D55" s="104">
        <f>VLOOKUP(21,$A$4:$AZ$32,4,FALSE)</f>
        <v>27</v>
      </c>
      <c r="E55" s="104">
        <f>VLOOKUP(21,$A$4:$AZ$32,5,FALSE)</f>
        <v>30</v>
      </c>
      <c r="F55" s="104">
        <f>VLOOKUP(21,$A$4:$AZ$32,6,FALSE)</f>
        <v>30</v>
      </c>
      <c r="G55" s="104">
        <f>VLOOKUP(21,$A$4:$AZ$32,7,FALSE)</f>
        <v>28</v>
      </c>
      <c r="H55" s="104">
        <f>VLOOKUP(21,$A$4:$AZ$32,8,FALSE)</f>
        <v>27</v>
      </c>
      <c r="I55" s="104">
        <f>VLOOKUP(21,$A$4:$AZ$32,9,FALSE)</f>
        <v>24</v>
      </c>
      <c r="J55" s="104">
        <f>VLOOKUP(21,$A$4:$AZ$32,10,FALSE)</f>
        <v>29</v>
      </c>
      <c r="K55" s="104">
        <f>VLOOKUP(21,$A$4:$AZ$32,11,FALSE)</f>
        <v>24</v>
      </c>
      <c r="L55" s="104">
        <f>VLOOKUP(21,$A$4:$AZ$32,12,FALSE)</f>
        <v>25</v>
      </c>
      <c r="M55" s="104">
        <f>VLOOKUP(21,$A$4:$AZ$32,13,FALSE)</f>
        <v>30</v>
      </c>
      <c r="N55" s="104">
        <f>VLOOKUP(21,$A$4:$AZ$32,14,FALSE)</f>
        <v>29</v>
      </c>
      <c r="O55" s="104">
        <f>VLOOKUP(21,$A$4:$AZ$32,15,FALSE)</f>
        <v>27</v>
      </c>
      <c r="P55" s="104">
        <f>VLOOKUP(21,$A$4:$AZ$32,16,FALSE)</f>
        <v>27</v>
      </c>
      <c r="Q55" s="104">
        <f>VLOOKUP(21,$A$4:$AZ$32,17,FALSE)</f>
        <v>30</v>
      </c>
      <c r="R55" s="104">
        <f>VLOOKUP(21,$A$4:$AZ$32,18,FALSE)</f>
        <v>32</v>
      </c>
      <c r="S55" s="104">
        <f>VLOOKUP(21,$A$4:$AZ$32,19,FALSE)</f>
        <v>24</v>
      </c>
      <c r="T55" s="104">
        <f>VLOOKUP(21,$A$4:$AZ$32,20,FALSE)</f>
        <v>32</v>
      </c>
      <c r="U55" s="104">
        <f>VLOOKUP(21,$A$4:$AZ$32,21,FALSE)</f>
        <v>29</v>
      </c>
      <c r="V55" s="104">
        <f>VLOOKUP(21,$A$4:$AZ$32,22,FALSE)</f>
        <v>30</v>
      </c>
      <c r="W55" s="104">
        <f>VLOOKUP(21,$A$4:$AZ$32,23,FALSE)</f>
        <v>32</v>
      </c>
      <c r="X55" s="104">
        <f>VLOOKUP(21,$A$4:$AZ$32,24,FALSE)</f>
        <v>25</v>
      </c>
      <c r="Y55" s="104">
        <f>VLOOKUP(21,$A$4:$AZ$32,25,FALSE)</f>
        <v>34</v>
      </c>
      <c r="Z55" s="104">
        <f>VLOOKUP(21,$A$4:$AZ$32,26,FALSE)</f>
        <v>28</v>
      </c>
      <c r="AA55" s="104">
        <f>VLOOKUP(21,$A$4:$AZ$32,27,FALSE)</f>
        <v>27</v>
      </c>
      <c r="AB55" s="104">
        <f>VLOOKUP(21,$A$4:$AZ$32,28,FALSE)</f>
        <v>35</v>
      </c>
      <c r="AC55" s="104">
        <f>VLOOKUP(21,$A$4:$AZ$32,29,FALSE)</f>
        <v>28</v>
      </c>
      <c r="AD55" s="104">
        <f>VLOOKUP(21,$A$4:$AZ$32,30,FALSE)</f>
        <v>32</v>
      </c>
      <c r="AE55" s="104">
        <f>VLOOKUP(21,$A$4:$AZ$32,31,FALSE)</f>
        <v>28</v>
      </c>
      <c r="AF55" s="104">
        <f>VLOOKUP(21,$A$4:$AZ$32,32,FALSE)</f>
        <v>34</v>
      </c>
      <c r="AG55" s="104">
        <f>VLOOKUP(21,$A$4:$AZ$32,33,FALSE)</f>
        <v>36</v>
      </c>
      <c r="AH55" s="104">
        <f>VLOOKUP(21,$A$4:$AZ$32,34,FALSE)</f>
        <v>30</v>
      </c>
      <c r="AI55" s="104">
        <f>VLOOKUP(21,$A$4:$AZ$32,35,FALSE)</f>
        <v>35</v>
      </c>
    </row>
    <row r="56" spans="1:35" ht="25.5">
      <c r="A56">
        <v>22</v>
      </c>
      <c r="B56" s="78" t="s">
        <v>99</v>
      </c>
      <c r="C56" s="104">
        <f>VLOOKUP(22,$A$4:$AZ$32,3,FALSE)</f>
        <v>163</v>
      </c>
      <c r="D56" s="104">
        <f>VLOOKUP(22,$A$4:$AZ$32,4,FALSE)</f>
        <v>205</v>
      </c>
      <c r="E56" s="104">
        <f>VLOOKUP(22,$A$4:$AZ$32,5,FALSE)</f>
        <v>209</v>
      </c>
      <c r="F56" s="104">
        <f>VLOOKUP(22,$A$4:$AZ$32,6,FALSE)</f>
        <v>181</v>
      </c>
      <c r="G56" s="104">
        <f>VLOOKUP(22,$A$4:$AZ$32,7,FALSE)</f>
        <v>192</v>
      </c>
      <c r="H56" s="104">
        <f>VLOOKUP(22,$A$4:$AZ$32,8,FALSE)</f>
        <v>159</v>
      </c>
      <c r="I56" s="104">
        <f>VLOOKUP(22,$A$4:$AZ$32,9,FALSE)</f>
        <v>198</v>
      </c>
      <c r="J56" s="104">
        <f>VLOOKUP(22,$A$4:$AZ$32,10,FALSE)</f>
        <v>199</v>
      </c>
      <c r="K56" s="104">
        <f>VLOOKUP(22,$A$4:$AZ$32,11,FALSE)</f>
        <v>186</v>
      </c>
      <c r="L56" s="104">
        <f>VLOOKUP(22,$A$4:$AZ$32,12,FALSE)</f>
        <v>191</v>
      </c>
      <c r="M56" s="104">
        <f>VLOOKUP(22,$A$4:$AZ$32,13,FALSE)</f>
        <v>198</v>
      </c>
      <c r="N56" s="104">
        <f>VLOOKUP(22,$A$4:$AZ$32,14,FALSE)</f>
        <v>181</v>
      </c>
      <c r="O56" s="104">
        <f>VLOOKUP(22,$A$4:$AZ$32,15,FALSE)</f>
        <v>194</v>
      </c>
      <c r="P56" s="104">
        <f>VLOOKUP(22,$A$4:$AZ$32,16,FALSE)</f>
        <v>180</v>
      </c>
      <c r="Q56" s="104">
        <f>VLOOKUP(22,$A$4:$AZ$32,17,FALSE)</f>
        <v>176</v>
      </c>
      <c r="R56" s="104">
        <f>VLOOKUP(22,$A$4:$AZ$32,18,FALSE)</f>
        <v>189</v>
      </c>
      <c r="S56" s="104">
        <f>VLOOKUP(22,$A$4:$AZ$32,19,FALSE)</f>
        <v>183</v>
      </c>
      <c r="T56" s="104">
        <f>VLOOKUP(22,$A$4:$AZ$32,20,FALSE)</f>
        <v>190</v>
      </c>
      <c r="U56" s="104">
        <f>VLOOKUP(22,$A$4:$AZ$32,21,FALSE)</f>
        <v>203</v>
      </c>
      <c r="V56" s="104">
        <f>VLOOKUP(22,$A$4:$AZ$32,22,FALSE)</f>
        <v>191</v>
      </c>
      <c r="W56" s="104">
        <f>VLOOKUP(22,$A$4:$AZ$32,23,FALSE)</f>
        <v>196</v>
      </c>
      <c r="X56" s="104">
        <f>VLOOKUP(22,$A$4:$AZ$32,24,FALSE)</f>
        <v>176</v>
      </c>
      <c r="Y56" s="104">
        <f>VLOOKUP(22,$A$4:$AZ$32,25,FALSE)</f>
        <v>203</v>
      </c>
      <c r="Z56" s="104">
        <f>VLOOKUP(22,$A$4:$AZ$32,26,FALSE)</f>
        <v>159</v>
      </c>
      <c r="AA56" s="104">
        <f>VLOOKUP(22,$A$4:$AZ$32,27,FALSE)</f>
        <v>184</v>
      </c>
      <c r="AB56" s="104">
        <f>VLOOKUP(22,$A$4:$AZ$32,28,FALSE)</f>
        <v>175</v>
      </c>
      <c r="AC56" s="104">
        <f>VLOOKUP(22,$A$4:$AZ$32,29,FALSE)</f>
        <v>168</v>
      </c>
      <c r="AD56" s="104">
        <f>VLOOKUP(22,$A$4:$AZ$32,30,FALSE)</f>
        <v>170</v>
      </c>
      <c r="AE56" s="104">
        <f>VLOOKUP(22,$A$4:$AZ$32,31,FALSE)</f>
        <v>166</v>
      </c>
      <c r="AF56" s="104">
        <f>VLOOKUP(22,$A$4:$AZ$32,32,FALSE)</f>
        <v>179</v>
      </c>
      <c r="AG56" s="104">
        <f>VLOOKUP(22,$A$4:$AZ$32,33,FALSE)</f>
        <v>163</v>
      </c>
      <c r="AH56" s="104">
        <f>VLOOKUP(22,$A$4:$AZ$32,34,FALSE)</f>
        <v>146</v>
      </c>
      <c r="AI56" s="104">
        <f>VLOOKUP(22,$A$4:$AZ$32,35,FALSE)</f>
        <v>171</v>
      </c>
    </row>
    <row r="57" spans="1:35" ht="25.5">
      <c r="A57">
        <v>23</v>
      </c>
      <c r="B57" s="78" t="s">
        <v>100</v>
      </c>
      <c r="C57" s="104">
        <f>VLOOKUP(23,$A$4:$AZ$32,3,FALSE)</f>
        <v>64</v>
      </c>
      <c r="D57" s="104">
        <f>VLOOKUP(23,$A$4:$AZ$32,4,FALSE)</f>
        <v>79</v>
      </c>
      <c r="E57" s="104">
        <f>VLOOKUP(23,$A$4:$AZ$32,5,FALSE)</f>
        <v>79</v>
      </c>
      <c r="F57" s="104">
        <f>VLOOKUP(23,$A$4:$AZ$32,6,FALSE)</f>
        <v>73</v>
      </c>
      <c r="G57" s="104">
        <f>VLOOKUP(23,$A$4:$AZ$32,7,FALSE)</f>
        <v>74</v>
      </c>
      <c r="H57" s="104">
        <f>VLOOKUP(23,$A$4:$AZ$32,8,FALSE)</f>
        <v>74</v>
      </c>
      <c r="I57" s="104">
        <f>VLOOKUP(23,$A$4:$AZ$32,9,FALSE)</f>
        <v>78</v>
      </c>
      <c r="J57" s="104">
        <f>VLOOKUP(23,$A$4:$AZ$32,10,FALSE)</f>
        <v>76</v>
      </c>
      <c r="K57" s="104">
        <f>VLOOKUP(23,$A$4:$AZ$32,11,FALSE)</f>
        <v>75</v>
      </c>
      <c r="L57" s="104">
        <f>VLOOKUP(23,$A$4:$AZ$32,12,FALSE)</f>
        <v>73</v>
      </c>
      <c r="M57" s="104">
        <f>VLOOKUP(23,$A$4:$AZ$32,13,FALSE)</f>
        <v>87</v>
      </c>
      <c r="N57" s="104">
        <f>VLOOKUP(23,$A$4:$AZ$32,14,FALSE)</f>
        <v>76</v>
      </c>
      <c r="O57" s="104">
        <f>VLOOKUP(23,$A$4:$AZ$32,15,FALSE)</f>
        <v>85</v>
      </c>
      <c r="P57" s="104">
        <f>VLOOKUP(23,$A$4:$AZ$32,16,FALSE)</f>
        <v>86</v>
      </c>
      <c r="Q57" s="104">
        <f>VLOOKUP(23,$A$4:$AZ$32,17,FALSE)</f>
        <v>69</v>
      </c>
      <c r="R57" s="104">
        <f>VLOOKUP(23,$A$4:$AZ$32,18,FALSE)</f>
        <v>77</v>
      </c>
      <c r="S57" s="104">
        <f>VLOOKUP(23,$A$4:$AZ$32,19,FALSE)</f>
        <v>81</v>
      </c>
      <c r="T57" s="104">
        <f>VLOOKUP(23,$A$4:$AZ$32,20,FALSE)</f>
        <v>82</v>
      </c>
      <c r="U57" s="104">
        <f>VLOOKUP(23,$A$4:$AZ$32,21,FALSE)</f>
        <v>79</v>
      </c>
      <c r="V57" s="104">
        <f>VLOOKUP(23,$A$4:$AZ$32,22,FALSE)</f>
        <v>92</v>
      </c>
      <c r="W57" s="104">
        <f>VLOOKUP(23,$A$4:$AZ$32,23,FALSE)</f>
        <v>97</v>
      </c>
      <c r="X57" s="104">
        <f>VLOOKUP(23,$A$4:$AZ$32,24,FALSE)</f>
        <v>84</v>
      </c>
      <c r="Y57" s="104">
        <f>VLOOKUP(23,$A$4:$AZ$32,25,FALSE)</f>
        <v>88</v>
      </c>
      <c r="Z57" s="104">
        <f>VLOOKUP(23,$A$4:$AZ$32,26,FALSE)</f>
        <v>78</v>
      </c>
      <c r="AA57" s="104">
        <f>VLOOKUP(23,$A$4:$AZ$32,27,FALSE)</f>
        <v>83</v>
      </c>
      <c r="AB57" s="104">
        <f>VLOOKUP(23,$A$4:$AZ$32,28,FALSE)</f>
        <v>81</v>
      </c>
      <c r="AC57" s="104">
        <f>VLOOKUP(23,$A$4:$AZ$32,29,FALSE)</f>
        <v>87</v>
      </c>
      <c r="AD57" s="104">
        <f>VLOOKUP(23,$A$4:$AZ$32,30,FALSE)</f>
        <v>91</v>
      </c>
      <c r="AE57" s="104">
        <f>VLOOKUP(23,$A$4:$AZ$32,31,FALSE)</f>
        <v>82</v>
      </c>
      <c r="AF57" s="104">
        <f>VLOOKUP(23,$A$4:$AZ$32,32,FALSE)</f>
        <v>96</v>
      </c>
      <c r="AG57" s="104">
        <f>VLOOKUP(23,$A$4:$AZ$32,33,FALSE)</f>
        <v>72</v>
      </c>
      <c r="AH57" s="104">
        <f>VLOOKUP(23,$A$4:$AZ$32,34,FALSE)</f>
        <v>90</v>
      </c>
      <c r="AI57" s="104">
        <f>VLOOKUP(23,$A$4:$AZ$32,35,FALSE)</f>
        <v>83</v>
      </c>
    </row>
    <row r="58" spans="1:35" ht="25.5">
      <c r="A58">
        <v>24</v>
      </c>
      <c r="B58" s="78" t="s">
        <v>101</v>
      </c>
      <c r="C58" s="104">
        <f>VLOOKUP(24,$A$4:$AZ$32,3,FALSE)</f>
        <v>34</v>
      </c>
      <c r="D58" s="104">
        <f>VLOOKUP(24,$A$4:$AZ$32,4,FALSE)</f>
        <v>38</v>
      </c>
      <c r="E58" s="104">
        <f>VLOOKUP(24,$A$4:$AZ$32,5,FALSE)</f>
        <v>34</v>
      </c>
      <c r="F58" s="104">
        <f>VLOOKUP(24,$A$4:$AZ$32,6,FALSE)</f>
        <v>32</v>
      </c>
      <c r="G58" s="104">
        <f>VLOOKUP(24,$A$4:$AZ$32,7,FALSE)</f>
        <v>32</v>
      </c>
      <c r="H58" s="104">
        <f>VLOOKUP(24,$A$4:$AZ$32,8,FALSE)</f>
        <v>25</v>
      </c>
      <c r="I58" s="104">
        <f>VLOOKUP(24,$A$4:$AZ$32,9,FALSE)</f>
        <v>28</v>
      </c>
      <c r="J58" s="104">
        <f>VLOOKUP(24,$A$4:$AZ$32,10,FALSE)</f>
        <v>25</v>
      </c>
      <c r="K58" s="104">
        <f>VLOOKUP(24,$A$4:$AZ$32,11,FALSE)</f>
        <v>34</v>
      </c>
      <c r="L58" s="104">
        <f>VLOOKUP(24,$A$4:$AZ$32,12,FALSE)</f>
        <v>25</v>
      </c>
      <c r="M58" s="104">
        <f>VLOOKUP(24,$A$4:$AZ$32,13,FALSE)</f>
        <v>31</v>
      </c>
      <c r="N58" s="104">
        <f>VLOOKUP(24,$A$4:$AZ$32,14,FALSE)</f>
        <v>28</v>
      </c>
      <c r="O58" s="104">
        <f>VLOOKUP(24,$A$4:$AZ$32,15,FALSE)</f>
        <v>28</v>
      </c>
      <c r="P58" s="104">
        <f>VLOOKUP(24,$A$4:$AZ$32,16,FALSE)</f>
        <v>26</v>
      </c>
      <c r="Q58" s="104">
        <f>VLOOKUP(24,$A$4:$AZ$32,17,FALSE)</f>
        <v>26</v>
      </c>
      <c r="R58" s="104">
        <f>VLOOKUP(24,$A$4:$AZ$32,18,FALSE)</f>
        <v>27</v>
      </c>
      <c r="S58" s="104">
        <f>VLOOKUP(24,$A$4:$AZ$32,19,FALSE)</f>
        <v>25</v>
      </c>
      <c r="T58" s="104">
        <f>VLOOKUP(24,$A$4:$AZ$32,20,FALSE)</f>
        <v>28</v>
      </c>
      <c r="U58" s="104">
        <f>VLOOKUP(24,$A$4:$AZ$32,21,FALSE)</f>
        <v>24</v>
      </c>
      <c r="V58" s="104">
        <f>VLOOKUP(24,$A$4:$AZ$32,22,FALSE)</f>
        <v>31</v>
      </c>
      <c r="W58" s="104">
        <f>VLOOKUP(24,$A$4:$AZ$32,23,FALSE)</f>
        <v>28</v>
      </c>
      <c r="X58" s="104">
        <f>VLOOKUP(24,$A$4:$AZ$32,24,FALSE)</f>
        <v>24</v>
      </c>
      <c r="Y58" s="104">
        <f>VLOOKUP(24,$A$4:$AZ$32,25,FALSE)</f>
        <v>26</v>
      </c>
      <c r="Z58" s="104">
        <f>VLOOKUP(24,$A$4:$AZ$32,26,FALSE)</f>
        <v>19</v>
      </c>
      <c r="AA58" s="104">
        <f>VLOOKUP(24,$A$4:$AZ$32,27,FALSE)</f>
        <v>22</v>
      </c>
      <c r="AB58" s="104">
        <f>VLOOKUP(24,$A$4:$AZ$32,28,FALSE)</f>
        <v>24</v>
      </c>
      <c r="AC58" s="104">
        <f>VLOOKUP(24,$A$4:$AZ$32,29,FALSE)</f>
        <v>27</v>
      </c>
      <c r="AD58" s="104">
        <f>VLOOKUP(24,$A$4:$AZ$32,30,FALSE)</f>
        <v>25</v>
      </c>
      <c r="AE58" s="104">
        <f>VLOOKUP(24,$A$4:$AZ$32,31,FALSE)</f>
        <v>23</v>
      </c>
      <c r="AF58" s="104">
        <f>VLOOKUP(24,$A$4:$AZ$32,32,FALSE)</f>
        <v>28</v>
      </c>
      <c r="AG58" s="104">
        <f>VLOOKUP(24,$A$4:$AZ$32,33,FALSE)</f>
        <v>30</v>
      </c>
      <c r="AH58" s="104">
        <f>VLOOKUP(24,$A$4:$AZ$32,34,FALSE)</f>
        <v>31</v>
      </c>
      <c r="AI58" s="104">
        <f>VLOOKUP(24,$A$4:$AZ$32,35,FALSE)</f>
        <v>26</v>
      </c>
    </row>
    <row r="59" spans="1:35" ht="25.5">
      <c r="A59">
        <v>25</v>
      </c>
      <c r="B59" s="78" t="s">
        <v>102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98</v>
      </c>
      <c r="Z59" s="104">
        <f>VLOOKUP(25,$A$4:$AZ$32,26,FALSE)</f>
        <v>232</v>
      </c>
      <c r="AA59" s="104">
        <f>VLOOKUP(25,$A$4:$AZ$32,27,FALSE)</f>
        <v>396</v>
      </c>
      <c r="AB59" s="104">
        <f>VLOOKUP(25,$A$4:$AZ$32,28,FALSE)</f>
        <v>555</v>
      </c>
      <c r="AC59" s="104">
        <f>VLOOKUP(25,$A$4:$AZ$32,29,FALSE)</f>
        <v>611</v>
      </c>
      <c r="AD59" s="104">
        <f>VLOOKUP(25,$A$4:$AZ$32,30,FALSE)</f>
        <v>669</v>
      </c>
      <c r="AE59" s="104">
        <f>VLOOKUP(25,$A$4:$AZ$32,31,FALSE)</f>
        <v>686</v>
      </c>
      <c r="AF59" s="104">
        <f>VLOOKUP(25,$A$4:$AZ$32,32,FALSE)</f>
        <v>765</v>
      </c>
      <c r="AG59" s="104">
        <f>VLOOKUP(25,$A$4:$AZ$32,33,FALSE)</f>
        <v>770</v>
      </c>
      <c r="AH59" s="104">
        <f>VLOOKUP(25,$A$4:$AZ$32,34,FALSE)</f>
        <v>759</v>
      </c>
      <c r="AI59" s="104">
        <f>VLOOKUP(25,$A$4:$AZ$32,35,FALSE)</f>
        <v>842</v>
      </c>
    </row>
    <row r="60" spans="1:35" ht="25.5">
      <c r="A60">
        <v>26</v>
      </c>
      <c r="B60" s="78" t="s">
        <v>103</v>
      </c>
      <c r="C60" s="104">
        <f>VLOOKUP(26,$A$4:$AZ$32,3,FALSE)</f>
        <v>1176</v>
      </c>
      <c r="D60" s="104">
        <f>VLOOKUP(26,$A$4:$AZ$32,4,FALSE)</f>
        <v>1335</v>
      </c>
      <c r="E60" s="104">
        <f>VLOOKUP(26,$A$4:$AZ$32,5,FALSE)</f>
        <v>1303</v>
      </c>
      <c r="F60" s="104">
        <f>VLOOKUP(26,$A$4:$AZ$32,6,FALSE)</f>
        <v>1253</v>
      </c>
      <c r="G60" s="104">
        <f>VLOOKUP(26,$A$4:$AZ$32,7,FALSE)</f>
        <v>1280</v>
      </c>
      <c r="H60" s="104">
        <f>VLOOKUP(26,$A$4:$AZ$32,8,FALSE)</f>
        <v>1292</v>
      </c>
      <c r="I60" s="104">
        <f>VLOOKUP(26,$A$4:$AZ$32,9,FALSE)</f>
        <v>1384</v>
      </c>
      <c r="J60" s="104">
        <f>VLOOKUP(26,$A$4:$AZ$32,10,FALSE)</f>
        <v>1424</v>
      </c>
      <c r="K60" s="104">
        <f>VLOOKUP(26,$A$4:$AZ$32,11,FALSE)</f>
        <v>1413</v>
      </c>
      <c r="L60" s="104">
        <f>VLOOKUP(26,$A$4:$AZ$32,12,FALSE)</f>
        <v>1357</v>
      </c>
      <c r="M60" s="104">
        <f>VLOOKUP(26,$A$4:$AZ$32,13,FALSE)</f>
        <v>1472</v>
      </c>
      <c r="N60" s="104">
        <f>VLOOKUP(26,$A$4:$AZ$32,14,FALSE)</f>
        <v>1427</v>
      </c>
      <c r="O60" s="104">
        <f>VLOOKUP(26,$A$4:$AZ$32,15,FALSE)</f>
        <v>1466</v>
      </c>
      <c r="P60" s="104">
        <f>VLOOKUP(26,$A$4:$AZ$32,16,FALSE)</f>
        <v>1459</v>
      </c>
      <c r="Q60" s="104">
        <f>VLOOKUP(26,$A$4:$AZ$32,17,FALSE)</f>
        <v>1404</v>
      </c>
      <c r="R60" s="104">
        <f>VLOOKUP(26,$A$4:$AZ$32,18,FALSE)</f>
        <v>1448</v>
      </c>
      <c r="S60" s="104">
        <f>VLOOKUP(26,$A$4:$AZ$32,19,FALSE)</f>
        <v>1445</v>
      </c>
      <c r="T60" s="104">
        <f>VLOOKUP(26,$A$4:$AZ$32,20,FALSE)</f>
        <v>1441</v>
      </c>
      <c r="U60" s="104">
        <f>VLOOKUP(26,$A$4:$AZ$32,21,FALSE)</f>
        <v>1475</v>
      </c>
      <c r="V60" s="104">
        <f>VLOOKUP(26,$A$4:$AZ$32,22,FALSE)</f>
        <v>1495</v>
      </c>
      <c r="W60" s="104">
        <f>VLOOKUP(26,$A$4:$AZ$32,23,FALSE)</f>
        <v>1443</v>
      </c>
      <c r="X60" s="104">
        <f>VLOOKUP(26,$A$4:$AZ$32,24,FALSE)</f>
        <v>1414</v>
      </c>
      <c r="Y60" s="104">
        <f>VLOOKUP(26,$A$4:$AZ$32,25,FALSE)</f>
        <v>1459</v>
      </c>
      <c r="Z60" s="104">
        <f>VLOOKUP(26,$A$4:$AZ$32,26,FALSE)</f>
        <v>1180</v>
      </c>
      <c r="AA60" s="104">
        <f>VLOOKUP(26,$A$4:$AZ$32,27,FALSE)</f>
        <v>1124</v>
      </c>
      <c r="AB60" s="104">
        <f>VLOOKUP(26,$A$4:$AZ$32,28,FALSE)</f>
        <v>1066</v>
      </c>
      <c r="AC60" s="104">
        <f>VLOOKUP(26,$A$4:$AZ$32,29,FALSE)</f>
        <v>935</v>
      </c>
      <c r="AD60" s="104">
        <f>VLOOKUP(26,$A$4:$AZ$32,30,FALSE)</f>
        <v>954</v>
      </c>
      <c r="AE60" s="104">
        <f>VLOOKUP(26,$A$4:$AZ$32,31,FALSE)</f>
        <v>856</v>
      </c>
      <c r="AF60" s="104">
        <f>VLOOKUP(26,$A$4:$AZ$32,32,FALSE)</f>
        <v>912</v>
      </c>
      <c r="AG60" s="104">
        <f>VLOOKUP(26,$A$4:$AZ$32,33,FALSE)</f>
        <v>845</v>
      </c>
      <c r="AH60" s="104">
        <f>VLOOKUP(26,$A$4:$AZ$32,34,FALSE)</f>
        <v>831</v>
      </c>
      <c r="AI60" s="104">
        <f>VLOOKUP(26,$A$4:$AZ$32,35,FALSE)</f>
        <v>877</v>
      </c>
    </row>
    <row r="61" spans="1:35" ht="25.5">
      <c r="A61">
        <v>27</v>
      </c>
      <c r="B61" s="78" t="s">
        <v>104</v>
      </c>
      <c r="C61" s="104">
        <f>VLOOKUP(27,$A$4:$AZ$32,3,FALSE)</f>
        <v>704</v>
      </c>
      <c r="D61" s="104">
        <f>VLOOKUP(27,$A$4:$AZ$32,4,FALSE)</f>
        <v>805</v>
      </c>
      <c r="E61" s="104">
        <f>VLOOKUP(27,$A$4:$AZ$32,5,FALSE)</f>
        <v>794</v>
      </c>
      <c r="F61" s="104">
        <f>VLOOKUP(27,$A$4:$AZ$32,6,FALSE)</f>
        <v>762</v>
      </c>
      <c r="G61" s="104">
        <f>VLOOKUP(27,$A$4:$AZ$32,7,FALSE)</f>
        <v>769</v>
      </c>
      <c r="H61" s="104">
        <f>VLOOKUP(27,$A$4:$AZ$32,8,FALSE)</f>
        <v>767</v>
      </c>
      <c r="I61" s="104">
        <f>VLOOKUP(27,$A$4:$AZ$32,9,FALSE)</f>
        <v>769</v>
      </c>
      <c r="J61" s="104">
        <f>VLOOKUP(27,$A$4:$AZ$32,10,FALSE)</f>
        <v>794</v>
      </c>
      <c r="K61" s="104">
        <f>VLOOKUP(27,$A$4:$AZ$32,11,FALSE)</f>
        <v>754</v>
      </c>
      <c r="L61" s="104">
        <f>VLOOKUP(27,$A$4:$AZ$32,12,FALSE)</f>
        <v>704</v>
      </c>
      <c r="M61" s="104">
        <f>VLOOKUP(27,$A$4:$AZ$32,13,FALSE)</f>
        <v>765</v>
      </c>
      <c r="N61" s="104">
        <f>VLOOKUP(27,$A$4:$AZ$32,14,FALSE)</f>
        <v>766</v>
      </c>
      <c r="O61" s="104">
        <f>VLOOKUP(27,$A$4:$AZ$32,15,FALSE)</f>
        <v>773</v>
      </c>
      <c r="P61" s="104">
        <f>VLOOKUP(27,$A$4:$AZ$32,16,FALSE)</f>
        <v>724</v>
      </c>
      <c r="Q61" s="104">
        <f>VLOOKUP(27,$A$4:$AZ$32,17,FALSE)</f>
        <v>708</v>
      </c>
      <c r="R61" s="104">
        <f>VLOOKUP(27,$A$4:$AZ$32,18,FALSE)</f>
        <v>728</v>
      </c>
      <c r="S61" s="104">
        <f>VLOOKUP(27,$A$4:$AZ$32,19,FALSE)</f>
        <v>738</v>
      </c>
      <c r="T61" s="104">
        <f>VLOOKUP(27,$A$4:$AZ$32,20,FALSE)</f>
        <v>708</v>
      </c>
      <c r="U61" s="104">
        <f>VLOOKUP(27,$A$4:$AZ$32,21,FALSE)</f>
        <v>760</v>
      </c>
      <c r="V61" s="104">
        <f>VLOOKUP(27,$A$4:$AZ$32,22,FALSE)</f>
        <v>738</v>
      </c>
      <c r="W61" s="104">
        <f>VLOOKUP(27,$A$4:$AZ$32,23,FALSE)</f>
        <v>730</v>
      </c>
      <c r="X61" s="104">
        <f>VLOOKUP(27,$A$4:$AZ$32,24,FALSE)</f>
        <v>712</v>
      </c>
      <c r="Y61" s="104">
        <f>VLOOKUP(27,$A$4:$AZ$32,25,FALSE)</f>
        <v>745</v>
      </c>
      <c r="Z61" s="104">
        <f>VLOOKUP(27,$A$4:$AZ$32,26,FALSE)</f>
        <v>672</v>
      </c>
      <c r="AA61" s="104">
        <f>VLOOKUP(27,$A$4:$AZ$32,27,FALSE)</f>
        <v>703</v>
      </c>
      <c r="AB61" s="104">
        <f>VLOOKUP(27,$A$4:$AZ$32,28,FALSE)</f>
        <v>684</v>
      </c>
      <c r="AC61" s="104">
        <f>VLOOKUP(27,$A$4:$AZ$32,29,FALSE)</f>
        <v>629</v>
      </c>
      <c r="AD61" s="104">
        <f>VLOOKUP(27,$A$4:$AZ$32,30,FALSE)</f>
        <v>619</v>
      </c>
      <c r="AE61" s="104">
        <f>VLOOKUP(27,$A$4:$AZ$32,31,FALSE)</f>
        <v>590</v>
      </c>
      <c r="AF61" s="104">
        <f>VLOOKUP(27,$A$4:$AZ$32,32,FALSE)</f>
        <v>649</v>
      </c>
      <c r="AG61" s="104">
        <f>VLOOKUP(27,$A$4:$AZ$32,33,FALSE)</f>
        <v>604</v>
      </c>
      <c r="AH61" s="104">
        <f>VLOOKUP(27,$A$4:$AZ$32,34,FALSE)</f>
        <v>586</v>
      </c>
      <c r="AI61" s="104">
        <f>VLOOKUP(27,$A$4:$AZ$32,35,FALSE)</f>
        <v>640</v>
      </c>
    </row>
    <row r="62" spans="1:35" ht="25.5">
      <c r="A62">
        <v>28</v>
      </c>
      <c r="B62" s="78" t="s">
        <v>105</v>
      </c>
      <c r="C62" s="104">
        <f>VLOOKUP(28,$A$4:$AZ$32,3,FALSE)</f>
        <v>303</v>
      </c>
      <c r="D62" s="104">
        <f>VLOOKUP(28,$A$4:$AZ$32,4,FALSE)</f>
        <v>338</v>
      </c>
      <c r="E62" s="104">
        <f>VLOOKUP(28,$A$4:$AZ$32,5,FALSE)</f>
        <v>324</v>
      </c>
      <c r="F62" s="104">
        <f>VLOOKUP(28,$A$4:$AZ$32,6,FALSE)</f>
        <v>322</v>
      </c>
      <c r="G62" s="104">
        <f>VLOOKUP(28,$A$4:$AZ$32,7,FALSE)</f>
        <v>336</v>
      </c>
      <c r="H62" s="104">
        <f>VLOOKUP(28,$A$4:$AZ$32,8,FALSE)</f>
        <v>343</v>
      </c>
      <c r="I62" s="104">
        <f>VLOOKUP(28,$A$4:$AZ$32,9,FALSE)</f>
        <v>335</v>
      </c>
      <c r="J62" s="104">
        <f>VLOOKUP(28,$A$4:$AZ$32,10,FALSE)</f>
        <v>329</v>
      </c>
      <c r="K62" s="104">
        <f>VLOOKUP(28,$A$4:$AZ$32,11,FALSE)</f>
        <v>314</v>
      </c>
      <c r="L62" s="104">
        <f>VLOOKUP(28,$A$4:$AZ$32,12,FALSE)</f>
        <v>305</v>
      </c>
      <c r="M62" s="104">
        <f>VLOOKUP(28,$A$4:$AZ$32,13,FALSE)</f>
        <v>338</v>
      </c>
      <c r="N62" s="104">
        <f>VLOOKUP(28,$A$4:$AZ$32,14,FALSE)</f>
        <v>324</v>
      </c>
      <c r="O62" s="104">
        <f>VLOOKUP(28,$A$4:$AZ$32,15,FALSE)</f>
        <v>325</v>
      </c>
      <c r="P62" s="104">
        <f>VLOOKUP(28,$A$4:$AZ$32,16,FALSE)</f>
        <v>325</v>
      </c>
      <c r="Q62" s="104">
        <f>VLOOKUP(28,$A$4:$AZ$32,17,FALSE)</f>
        <v>299</v>
      </c>
      <c r="R62" s="104">
        <f>VLOOKUP(28,$A$4:$AZ$32,18,FALSE)</f>
        <v>299</v>
      </c>
      <c r="S62" s="104">
        <f>VLOOKUP(28,$A$4:$AZ$32,19,FALSE)</f>
        <v>313</v>
      </c>
      <c r="T62" s="104">
        <f>VLOOKUP(28,$A$4:$AZ$32,20,FALSE)</f>
        <v>310</v>
      </c>
      <c r="U62" s="104">
        <f>VLOOKUP(28,$A$4:$AZ$32,21,FALSE)</f>
        <v>313</v>
      </c>
      <c r="V62" s="104">
        <f>VLOOKUP(28,$A$4:$AZ$32,22,FALSE)</f>
        <v>316</v>
      </c>
      <c r="W62" s="104">
        <f>VLOOKUP(28,$A$4:$AZ$32,23,FALSE)</f>
        <v>331</v>
      </c>
      <c r="X62" s="104">
        <f>VLOOKUP(28,$A$4:$AZ$32,24,FALSE)</f>
        <v>283</v>
      </c>
      <c r="Y62" s="104">
        <f>VLOOKUP(28,$A$4:$AZ$32,25,FALSE)</f>
        <v>320</v>
      </c>
      <c r="Z62" s="104">
        <f>VLOOKUP(28,$A$4:$AZ$32,26,FALSE)</f>
        <v>270</v>
      </c>
      <c r="AA62" s="104">
        <f>VLOOKUP(28,$A$4:$AZ$32,27,FALSE)</f>
        <v>295</v>
      </c>
      <c r="AB62" s="104">
        <f>VLOOKUP(28,$A$4:$AZ$32,28,FALSE)</f>
        <v>316</v>
      </c>
      <c r="AC62" s="104">
        <f>VLOOKUP(28,$A$4:$AZ$32,29,FALSE)</f>
        <v>282</v>
      </c>
      <c r="AD62" s="104">
        <f>VLOOKUP(28,$A$4:$AZ$32,30,FALSE)</f>
        <v>290</v>
      </c>
      <c r="AE62" s="104">
        <f>VLOOKUP(28,$A$4:$AZ$32,31,FALSE)</f>
        <v>269</v>
      </c>
      <c r="AF62" s="104">
        <f>VLOOKUP(28,$A$4:$AZ$32,32,FALSE)</f>
        <v>309</v>
      </c>
      <c r="AG62" s="104">
        <f>VLOOKUP(28,$A$4:$AZ$32,33,FALSE)</f>
        <v>275</v>
      </c>
      <c r="AH62" s="104">
        <f>VLOOKUP(28,$A$4:$AZ$32,34,FALSE)</f>
        <v>277</v>
      </c>
      <c r="AI62" s="104">
        <f>VLOOKUP(28,$A$4:$AZ$32,35,FALSE)</f>
        <v>291</v>
      </c>
    </row>
    <row r="63" spans="1:35" ht="12.75">
      <c r="A63">
        <v>29</v>
      </c>
      <c r="B63" s="78" t="s">
        <v>108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2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X77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6</v>
      </c>
      <c r="W66" s="100">
        <f t="shared" si="0"/>
        <v>5</v>
      </c>
      <c r="X66" s="100">
        <f t="shared" si="0"/>
        <v>13</v>
      </c>
      <c r="Y66" s="100">
        <f aca="true" t="shared" si="1" ref="Y66:AI81">IF(ISERROR(Y35),0,Y35)</f>
        <v>16</v>
      </c>
      <c r="Z66" s="100">
        <f t="shared" si="1"/>
        <v>15</v>
      </c>
      <c r="AA66" s="100">
        <f t="shared" si="1"/>
        <v>24</v>
      </c>
      <c r="AB66" s="100">
        <f t="shared" si="1"/>
        <v>29</v>
      </c>
      <c r="AC66" s="100">
        <f t="shared" si="1"/>
        <v>31</v>
      </c>
      <c r="AD66" s="100">
        <f t="shared" si="1"/>
        <v>27</v>
      </c>
      <c r="AE66" s="100">
        <f t="shared" si="1"/>
        <v>33</v>
      </c>
      <c r="AF66" s="100">
        <f t="shared" si="1"/>
        <v>30</v>
      </c>
      <c r="AG66" s="100">
        <f t="shared" si="1"/>
        <v>42</v>
      </c>
      <c r="AH66" s="100">
        <f t="shared" si="1"/>
        <v>17</v>
      </c>
      <c r="AI66" s="100">
        <f t="shared" si="1"/>
        <v>42</v>
      </c>
    </row>
    <row r="67" spans="2:35" ht="12.75">
      <c r="B67" s="101" t="s">
        <v>2</v>
      </c>
      <c r="C67" s="100">
        <f t="shared" si="0"/>
        <v>1130</v>
      </c>
      <c r="D67" s="100">
        <f t="shared" si="0"/>
        <v>1350</v>
      </c>
      <c r="E67" s="100">
        <f t="shared" si="0"/>
        <v>1234</v>
      </c>
      <c r="F67" s="100">
        <f t="shared" si="0"/>
        <v>1259</v>
      </c>
      <c r="G67" s="100">
        <f t="shared" si="0"/>
        <v>1225</v>
      </c>
      <c r="H67" s="100">
        <f t="shared" si="0"/>
        <v>1264</v>
      </c>
      <c r="I67" s="100">
        <f t="shared" si="0"/>
        <v>1283</v>
      </c>
      <c r="J67" s="100">
        <f t="shared" si="0"/>
        <v>1295</v>
      </c>
      <c r="K67" s="100">
        <f t="shared" si="0"/>
        <v>1266</v>
      </c>
      <c r="L67" s="100">
        <f t="shared" si="0"/>
        <v>1168</v>
      </c>
      <c r="M67" s="100">
        <f t="shared" si="0"/>
        <v>1336</v>
      </c>
      <c r="N67" s="100">
        <f t="shared" si="0"/>
        <v>1277</v>
      </c>
      <c r="O67" s="100">
        <f t="shared" si="0"/>
        <v>1366</v>
      </c>
      <c r="P67" s="100">
        <f t="shared" si="0"/>
        <v>1302</v>
      </c>
      <c r="Q67" s="100">
        <f t="shared" si="0"/>
        <v>1303</v>
      </c>
      <c r="R67" s="100">
        <f t="shared" si="0"/>
        <v>1413</v>
      </c>
      <c r="S67" s="100">
        <f t="shared" si="0"/>
        <v>1431</v>
      </c>
      <c r="T67" s="100">
        <f t="shared" si="0"/>
        <v>1483</v>
      </c>
      <c r="U67" s="100">
        <f t="shared" si="0"/>
        <v>1493</v>
      </c>
      <c r="V67" s="100">
        <f t="shared" si="0"/>
        <v>1552</v>
      </c>
      <c r="W67" s="100">
        <f t="shared" si="0"/>
        <v>1523</v>
      </c>
      <c r="X67" s="100">
        <f t="shared" si="0"/>
        <v>1455</v>
      </c>
      <c r="Y67" s="100">
        <f t="shared" si="1"/>
        <v>1613</v>
      </c>
      <c r="Z67" s="100">
        <f t="shared" si="1"/>
        <v>1479</v>
      </c>
      <c r="AA67" s="100">
        <f t="shared" si="1"/>
        <v>1605</v>
      </c>
      <c r="AB67" s="100">
        <f t="shared" si="1"/>
        <v>1567</v>
      </c>
      <c r="AC67" s="100">
        <f t="shared" si="1"/>
        <v>1541</v>
      </c>
      <c r="AD67" s="100">
        <f t="shared" si="1"/>
        <v>1553</v>
      </c>
      <c r="AE67" s="100">
        <f t="shared" si="1"/>
        <v>1579</v>
      </c>
      <c r="AF67" s="100">
        <f t="shared" si="1"/>
        <v>1699</v>
      </c>
      <c r="AG67" s="100">
        <f t="shared" si="1"/>
        <v>1617</v>
      </c>
      <c r="AH67" s="100">
        <f t="shared" si="1"/>
        <v>1620</v>
      </c>
      <c r="AI67" s="100">
        <f t="shared" si="1"/>
        <v>1773</v>
      </c>
    </row>
    <row r="68" spans="2:35" ht="12.75">
      <c r="B68" s="101" t="s">
        <v>3</v>
      </c>
      <c r="C68" s="100">
        <f t="shared" si="0"/>
        <v>181</v>
      </c>
      <c r="D68" s="100">
        <f t="shared" si="0"/>
        <v>221</v>
      </c>
      <c r="E68" s="100">
        <f t="shared" si="0"/>
        <v>195</v>
      </c>
      <c r="F68" s="100">
        <f t="shared" si="0"/>
        <v>201</v>
      </c>
      <c r="G68" s="100">
        <f t="shared" si="0"/>
        <v>198</v>
      </c>
      <c r="H68" s="100">
        <f t="shared" si="0"/>
        <v>192</v>
      </c>
      <c r="I68" s="100">
        <f t="shared" si="0"/>
        <v>217</v>
      </c>
      <c r="J68" s="100">
        <f t="shared" si="0"/>
        <v>225</v>
      </c>
      <c r="K68" s="100">
        <f t="shared" si="0"/>
        <v>226</v>
      </c>
      <c r="L68" s="100">
        <f t="shared" si="0"/>
        <v>223</v>
      </c>
      <c r="M68" s="100">
        <f t="shared" si="0"/>
        <v>236</v>
      </c>
      <c r="N68" s="100">
        <f t="shared" si="0"/>
        <v>236</v>
      </c>
      <c r="O68" s="100">
        <f t="shared" si="0"/>
        <v>254</v>
      </c>
      <c r="P68" s="100">
        <f t="shared" si="0"/>
        <v>262</v>
      </c>
      <c r="Q68" s="100">
        <f t="shared" si="0"/>
        <v>248</v>
      </c>
      <c r="R68" s="100">
        <f t="shared" si="0"/>
        <v>271</v>
      </c>
      <c r="S68" s="100">
        <f t="shared" si="0"/>
        <v>264</v>
      </c>
      <c r="T68" s="100">
        <f t="shared" si="0"/>
        <v>280</v>
      </c>
      <c r="U68" s="100">
        <f t="shared" si="0"/>
        <v>295</v>
      </c>
      <c r="V68" s="100">
        <f t="shared" si="0"/>
        <v>309</v>
      </c>
      <c r="W68" s="100">
        <f t="shared" si="0"/>
        <v>297</v>
      </c>
      <c r="X68" s="100">
        <f t="shared" si="0"/>
        <v>283</v>
      </c>
      <c r="Y68" s="100">
        <f t="shared" si="1"/>
        <v>299</v>
      </c>
      <c r="Z68" s="100">
        <f t="shared" si="1"/>
        <v>282</v>
      </c>
      <c r="AA68" s="100">
        <f t="shared" si="1"/>
        <v>311</v>
      </c>
      <c r="AB68" s="100">
        <f t="shared" si="1"/>
        <v>304</v>
      </c>
      <c r="AC68" s="100">
        <f t="shared" si="1"/>
        <v>274</v>
      </c>
      <c r="AD68" s="100">
        <f t="shared" si="1"/>
        <v>295</v>
      </c>
      <c r="AE68" s="100">
        <f t="shared" si="1"/>
        <v>281</v>
      </c>
      <c r="AF68" s="100">
        <f t="shared" si="1"/>
        <v>304</v>
      </c>
      <c r="AG68" s="100">
        <f t="shared" si="1"/>
        <v>297</v>
      </c>
      <c r="AH68" s="100">
        <f t="shared" si="1"/>
        <v>276</v>
      </c>
      <c r="AI68" s="100">
        <f t="shared" si="1"/>
        <v>292</v>
      </c>
    </row>
    <row r="69" spans="2:35" ht="12.75">
      <c r="B69" s="101" t="s">
        <v>75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1"/>
        <v>0</v>
      </c>
      <c r="Z69" s="100">
        <f t="shared" si="1"/>
        <v>0</v>
      </c>
      <c r="AA69" s="100">
        <f t="shared" si="1"/>
        <v>0</v>
      </c>
      <c r="AB69" s="100">
        <f t="shared" si="1"/>
        <v>0</v>
      </c>
      <c r="AC69" s="100">
        <f t="shared" si="1"/>
        <v>0</v>
      </c>
      <c r="AD69" s="100">
        <f t="shared" si="1"/>
        <v>0</v>
      </c>
      <c r="AE69" s="100">
        <f t="shared" si="1"/>
        <v>7</v>
      </c>
      <c r="AF69" s="100">
        <f t="shared" si="1"/>
        <v>6</v>
      </c>
      <c r="AG69" s="100">
        <f t="shared" si="1"/>
        <v>19</v>
      </c>
      <c r="AH69" s="100">
        <f t="shared" si="1"/>
        <v>16</v>
      </c>
      <c r="AI69" s="100">
        <f t="shared" si="1"/>
        <v>25</v>
      </c>
    </row>
    <row r="70" spans="2:35" ht="12.75">
      <c r="B70" s="101" t="s">
        <v>4</v>
      </c>
      <c r="C70" s="100">
        <f t="shared" si="0"/>
        <v>2062</v>
      </c>
      <c r="D70" s="100">
        <f t="shared" si="0"/>
        <v>2368</v>
      </c>
      <c r="E70" s="100">
        <f t="shared" si="0"/>
        <v>2258</v>
      </c>
      <c r="F70" s="100">
        <f t="shared" si="0"/>
        <v>2214</v>
      </c>
      <c r="G70" s="100">
        <f t="shared" si="0"/>
        <v>2262</v>
      </c>
      <c r="H70" s="100">
        <f t="shared" si="0"/>
        <v>2368</v>
      </c>
      <c r="I70" s="100">
        <f t="shared" si="0"/>
        <v>2373</v>
      </c>
      <c r="J70" s="100">
        <f t="shared" si="0"/>
        <v>2387</v>
      </c>
      <c r="K70" s="100">
        <f t="shared" si="0"/>
        <v>2452</v>
      </c>
      <c r="L70" s="100">
        <f t="shared" si="0"/>
        <v>2266</v>
      </c>
      <c r="M70" s="100">
        <f t="shared" si="0"/>
        <v>2558</v>
      </c>
      <c r="N70" s="100">
        <f t="shared" si="0"/>
        <v>2515</v>
      </c>
      <c r="O70" s="100">
        <f t="shared" si="0"/>
        <v>2517</v>
      </c>
      <c r="P70" s="100">
        <f t="shared" si="0"/>
        <v>2411</v>
      </c>
      <c r="Q70" s="100">
        <f t="shared" si="0"/>
        <v>2347</v>
      </c>
      <c r="R70" s="100">
        <f t="shared" si="0"/>
        <v>2399</v>
      </c>
      <c r="S70" s="100">
        <f t="shared" si="0"/>
        <v>2392</v>
      </c>
      <c r="T70" s="100">
        <f t="shared" si="0"/>
        <v>2318</v>
      </c>
      <c r="U70" s="100">
        <f t="shared" si="0"/>
        <v>2367</v>
      </c>
      <c r="V70" s="100">
        <f t="shared" si="0"/>
        <v>2442</v>
      </c>
      <c r="W70" s="100">
        <f t="shared" si="0"/>
        <v>2399</v>
      </c>
      <c r="X70" s="100">
        <f t="shared" si="0"/>
        <v>2313</v>
      </c>
      <c r="Y70" s="100">
        <f t="shared" si="1"/>
        <v>2413</v>
      </c>
      <c r="Z70" s="100">
        <f t="shared" si="1"/>
        <v>2216</v>
      </c>
      <c r="AA70" s="100">
        <f t="shared" si="1"/>
        <v>2317</v>
      </c>
      <c r="AB70" s="100">
        <f t="shared" si="1"/>
        <v>2345</v>
      </c>
      <c r="AC70" s="100">
        <f t="shared" si="1"/>
        <v>2230</v>
      </c>
      <c r="AD70" s="100">
        <f t="shared" si="1"/>
        <v>2330</v>
      </c>
      <c r="AE70" s="100">
        <f t="shared" si="1"/>
        <v>2246</v>
      </c>
      <c r="AF70" s="100">
        <f t="shared" si="1"/>
        <v>2386</v>
      </c>
      <c r="AG70" s="100">
        <f t="shared" si="1"/>
        <v>2314</v>
      </c>
      <c r="AH70" s="100">
        <f t="shared" si="1"/>
        <v>2221</v>
      </c>
      <c r="AI70" s="100">
        <f t="shared" si="1"/>
        <v>2395</v>
      </c>
    </row>
    <row r="71" spans="2:35" ht="12.75">
      <c r="B71" s="101" t="s">
        <v>5</v>
      </c>
      <c r="C71" s="100">
        <f t="shared" si="0"/>
        <v>730</v>
      </c>
      <c r="D71" s="100">
        <f t="shared" si="0"/>
        <v>826</v>
      </c>
      <c r="E71" s="100">
        <f t="shared" si="0"/>
        <v>805</v>
      </c>
      <c r="F71" s="100">
        <f t="shared" si="0"/>
        <v>818</v>
      </c>
      <c r="G71" s="100">
        <f t="shared" si="0"/>
        <v>846</v>
      </c>
      <c r="H71" s="100">
        <f t="shared" si="0"/>
        <v>840</v>
      </c>
      <c r="I71" s="100">
        <f t="shared" si="0"/>
        <v>860</v>
      </c>
      <c r="J71" s="100">
        <f t="shared" si="0"/>
        <v>898</v>
      </c>
      <c r="K71" s="100">
        <f t="shared" si="0"/>
        <v>902</v>
      </c>
      <c r="L71" s="100">
        <f t="shared" si="0"/>
        <v>859</v>
      </c>
      <c r="M71" s="100">
        <f t="shared" si="0"/>
        <v>971</v>
      </c>
      <c r="N71" s="100">
        <f t="shared" si="0"/>
        <v>972</v>
      </c>
      <c r="O71" s="100">
        <f t="shared" si="0"/>
        <v>985</v>
      </c>
      <c r="P71" s="100">
        <f t="shared" si="0"/>
        <v>976</v>
      </c>
      <c r="Q71" s="100">
        <f t="shared" si="0"/>
        <v>921</v>
      </c>
      <c r="R71" s="100">
        <f t="shared" si="0"/>
        <v>967</v>
      </c>
      <c r="S71" s="100">
        <f t="shared" si="0"/>
        <v>968</v>
      </c>
      <c r="T71" s="100">
        <f t="shared" si="0"/>
        <v>967</v>
      </c>
      <c r="U71" s="100">
        <f t="shared" si="0"/>
        <v>960</v>
      </c>
      <c r="V71" s="100">
        <f t="shared" si="0"/>
        <v>967</v>
      </c>
      <c r="W71" s="100">
        <f t="shared" si="0"/>
        <v>972</v>
      </c>
      <c r="X71" s="100">
        <f t="shared" si="0"/>
        <v>932</v>
      </c>
      <c r="Y71" s="100">
        <f t="shared" si="1"/>
        <v>987</v>
      </c>
      <c r="Z71" s="100">
        <f t="shared" si="1"/>
        <v>932</v>
      </c>
      <c r="AA71" s="100">
        <f t="shared" si="1"/>
        <v>948</v>
      </c>
      <c r="AB71" s="100">
        <f t="shared" si="1"/>
        <v>986</v>
      </c>
      <c r="AC71" s="100">
        <f t="shared" si="1"/>
        <v>922</v>
      </c>
      <c r="AD71" s="100">
        <f t="shared" si="1"/>
        <v>982</v>
      </c>
      <c r="AE71" s="100">
        <f t="shared" si="1"/>
        <v>930</v>
      </c>
      <c r="AF71" s="100">
        <f t="shared" si="1"/>
        <v>980</v>
      </c>
      <c r="AG71" s="100">
        <f t="shared" si="1"/>
        <v>920</v>
      </c>
      <c r="AH71" s="100">
        <f t="shared" si="1"/>
        <v>900</v>
      </c>
      <c r="AI71" s="100">
        <f t="shared" si="1"/>
        <v>1010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1"/>
        <v>0</v>
      </c>
      <c r="Z72" s="100">
        <f t="shared" si="1"/>
        <v>0</v>
      </c>
      <c r="AA72" s="100">
        <f t="shared" si="1"/>
        <v>0</v>
      </c>
      <c r="AB72" s="100">
        <f t="shared" si="1"/>
        <v>10</v>
      </c>
      <c r="AC72" s="100">
        <f t="shared" si="1"/>
        <v>16</v>
      </c>
      <c r="AD72" s="100">
        <f t="shared" si="1"/>
        <v>19</v>
      </c>
      <c r="AE72" s="100">
        <f t="shared" si="1"/>
        <v>34</v>
      </c>
      <c r="AF72" s="100">
        <f t="shared" si="1"/>
        <v>59</v>
      </c>
      <c r="AG72" s="100">
        <f t="shared" si="1"/>
        <v>78</v>
      </c>
      <c r="AH72" s="100">
        <f t="shared" si="1"/>
        <v>95</v>
      </c>
      <c r="AI72" s="100">
        <f t="shared" si="1"/>
        <v>112</v>
      </c>
    </row>
    <row r="73" spans="2:35" ht="12.75">
      <c r="B73" s="101" t="s">
        <v>6</v>
      </c>
      <c r="C73" s="100">
        <f t="shared" si="0"/>
        <v>125</v>
      </c>
      <c r="D73" s="100">
        <f t="shared" si="0"/>
        <v>143</v>
      </c>
      <c r="E73" s="100">
        <f t="shared" si="0"/>
        <v>134</v>
      </c>
      <c r="F73" s="100">
        <f t="shared" si="0"/>
        <v>128</v>
      </c>
      <c r="G73" s="100">
        <f t="shared" si="0"/>
        <v>129</v>
      </c>
      <c r="H73" s="100">
        <f t="shared" si="0"/>
        <v>131</v>
      </c>
      <c r="I73" s="100">
        <f t="shared" si="0"/>
        <v>132</v>
      </c>
      <c r="J73" s="100">
        <f t="shared" si="0"/>
        <v>140</v>
      </c>
      <c r="K73" s="100">
        <f t="shared" si="0"/>
        <v>130</v>
      </c>
      <c r="L73" s="100">
        <f t="shared" si="0"/>
        <v>133</v>
      </c>
      <c r="M73" s="100">
        <f t="shared" si="0"/>
        <v>143</v>
      </c>
      <c r="N73" s="100">
        <f t="shared" si="0"/>
        <v>129</v>
      </c>
      <c r="O73" s="100">
        <f t="shared" si="0"/>
        <v>143</v>
      </c>
      <c r="P73" s="100">
        <f t="shared" si="0"/>
        <v>135</v>
      </c>
      <c r="Q73" s="100">
        <f t="shared" si="0"/>
        <v>125</v>
      </c>
      <c r="R73" s="100">
        <f t="shared" si="0"/>
        <v>124</v>
      </c>
      <c r="S73" s="100">
        <f t="shared" si="0"/>
        <v>131</v>
      </c>
      <c r="T73" s="100">
        <f t="shared" si="0"/>
        <v>132</v>
      </c>
      <c r="U73" s="100">
        <f t="shared" si="0"/>
        <v>136</v>
      </c>
      <c r="V73" s="100">
        <f t="shared" si="0"/>
        <v>149</v>
      </c>
      <c r="W73" s="100">
        <f t="shared" si="0"/>
        <v>148</v>
      </c>
      <c r="X73" s="100">
        <f t="shared" si="0"/>
        <v>135</v>
      </c>
      <c r="Y73" s="100">
        <f t="shared" si="1"/>
        <v>157</v>
      </c>
      <c r="Z73" s="100">
        <f t="shared" si="1"/>
        <v>136</v>
      </c>
      <c r="AA73" s="100">
        <f t="shared" si="1"/>
        <v>148</v>
      </c>
      <c r="AB73" s="100">
        <f t="shared" si="1"/>
        <v>144</v>
      </c>
      <c r="AC73" s="100">
        <f t="shared" si="1"/>
        <v>137</v>
      </c>
      <c r="AD73" s="100">
        <f t="shared" si="1"/>
        <v>133</v>
      </c>
      <c r="AE73" s="100">
        <f t="shared" si="1"/>
        <v>135</v>
      </c>
      <c r="AF73" s="100">
        <f t="shared" si="1"/>
        <v>143</v>
      </c>
      <c r="AG73" s="100">
        <f t="shared" si="1"/>
        <v>129</v>
      </c>
      <c r="AH73" s="100">
        <f t="shared" si="1"/>
        <v>120</v>
      </c>
      <c r="AI73" s="100">
        <f t="shared" si="1"/>
        <v>142</v>
      </c>
    </row>
    <row r="74" spans="2:35" ht="12.75">
      <c r="B74" s="101" t="s">
        <v>7</v>
      </c>
      <c r="C74" s="100">
        <f t="shared" si="0"/>
        <v>270</v>
      </c>
      <c r="D74" s="100">
        <f t="shared" si="0"/>
        <v>299</v>
      </c>
      <c r="E74" s="100">
        <f t="shared" si="0"/>
        <v>268</v>
      </c>
      <c r="F74" s="100">
        <f t="shared" si="0"/>
        <v>273</v>
      </c>
      <c r="G74" s="100">
        <f t="shared" si="0"/>
        <v>286</v>
      </c>
      <c r="H74" s="100">
        <f t="shared" si="0"/>
        <v>299</v>
      </c>
      <c r="I74" s="100">
        <f t="shared" si="0"/>
        <v>311</v>
      </c>
      <c r="J74" s="100">
        <f t="shared" si="0"/>
        <v>338</v>
      </c>
      <c r="K74" s="100">
        <f t="shared" si="0"/>
        <v>334</v>
      </c>
      <c r="L74" s="100">
        <f t="shared" si="0"/>
        <v>315</v>
      </c>
      <c r="M74" s="100">
        <f t="shared" si="0"/>
        <v>355</v>
      </c>
      <c r="N74" s="100">
        <f t="shared" si="0"/>
        <v>335</v>
      </c>
      <c r="O74" s="100">
        <f t="shared" si="0"/>
        <v>374</v>
      </c>
      <c r="P74" s="100">
        <f t="shared" si="0"/>
        <v>335</v>
      </c>
      <c r="Q74" s="100">
        <f t="shared" si="0"/>
        <v>320</v>
      </c>
      <c r="R74" s="100">
        <f t="shared" si="0"/>
        <v>350</v>
      </c>
      <c r="S74" s="100">
        <f t="shared" si="0"/>
        <v>334</v>
      </c>
      <c r="T74" s="100">
        <f t="shared" si="0"/>
        <v>314</v>
      </c>
      <c r="U74" s="100">
        <f t="shared" si="0"/>
        <v>329</v>
      </c>
      <c r="V74" s="100">
        <f t="shared" si="0"/>
        <v>303</v>
      </c>
      <c r="W74" s="100">
        <f t="shared" si="0"/>
        <v>307</v>
      </c>
      <c r="X74" s="100">
        <f t="shared" si="0"/>
        <v>317</v>
      </c>
      <c r="Y74" s="100">
        <f t="shared" si="1"/>
        <v>302</v>
      </c>
      <c r="Z74" s="100">
        <f t="shared" si="1"/>
        <v>287</v>
      </c>
      <c r="AA74" s="100">
        <f t="shared" si="1"/>
        <v>308</v>
      </c>
      <c r="AB74" s="100">
        <f t="shared" si="1"/>
        <v>297</v>
      </c>
      <c r="AC74" s="100">
        <f t="shared" si="1"/>
        <v>275</v>
      </c>
      <c r="AD74" s="100">
        <f t="shared" si="1"/>
        <v>292</v>
      </c>
      <c r="AE74" s="100">
        <f t="shared" si="1"/>
        <v>286</v>
      </c>
      <c r="AF74" s="100">
        <f t="shared" si="1"/>
        <v>308</v>
      </c>
      <c r="AG74" s="100">
        <f t="shared" si="1"/>
        <v>279</v>
      </c>
      <c r="AH74" s="100">
        <f t="shared" si="1"/>
        <v>267</v>
      </c>
      <c r="AI74" s="100">
        <f t="shared" si="1"/>
        <v>278</v>
      </c>
    </row>
    <row r="75" spans="2:35" ht="12.75">
      <c r="B75" s="101" t="s">
        <v>8</v>
      </c>
      <c r="C75" s="100">
        <f t="shared" si="0"/>
        <v>231</v>
      </c>
      <c r="D75" s="100">
        <f t="shared" si="0"/>
        <v>270</v>
      </c>
      <c r="E75" s="100">
        <f t="shared" si="0"/>
        <v>244</v>
      </c>
      <c r="F75" s="100">
        <f t="shared" si="0"/>
        <v>256</v>
      </c>
      <c r="G75" s="100">
        <f t="shared" si="0"/>
        <v>270</v>
      </c>
      <c r="H75" s="100">
        <f t="shared" si="0"/>
        <v>270</v>
      </c>
      <c r="I75" s="100">
        <f t="shared" si="0"/>
        <v>283</v>
      </c>
      <c r="J75" s="100">
        <f t="shared" si="0"/>
        <v>291</v>
      </c>
      <c r="K75" s="100">
        <f t="shared" si="0"/>
        <v>273</v>
      </c>
      <c r="L75" s="100">
        <f t="shared" si="0"/>
        <v>258</v>
      </c>
      <c r="M75" s="100">
        <f t="shared" si="0"/>
        <v>304</v>
      </c>
      <c r="N75" s="100">
        <f t="shared" si="0"/>
        <v>285</v>
      </c>
      <c r="O75" s="100">
        <f t="shared" si="0"/>
        <v>314</v>
      </c>
      <c r="P75" s="100">
        <f t="shared" si="0"/>
        <v>293</v>
      </c>
      <c r="Q75" s="100">
        <f t="shared" si="0"/>
        <v>278</v>
      </c>
      <c r="R75" s="100">
        <f t="shared" si="0"/>
        <v>275</v>
      </c>
      <c r="S75" s="100">
        <f t="shared" si="0"/>
        <v>277</v>
      </c>
      <c r="T75" s="100">
        <f t="shared" si="0"/>
        <v>286</v>
      </c>
      <c r="U75" s="100">
        <f t="shared" si="0"/>
        <v>290</v>
      </c>
      <c r="V75" s="100">
        <f t="shared" si="0"/>
        <v>287</v>
      </c>
      <c r="W75" s="100">
        <f t="shared" si="0"/>
        <v>295</v>
      </c>
      <c r="X75" s="100">
        <f t="shared" si="0"/>
        <v>282</v>
      </c>
      <c r="Y75" s="100">
        <f t="shared" si="1"/>
        <v>286</v>
      </c>
      <c r="Z75" s="100">
        <f t="shared" si="1"/>
        <v>260</v>
      </c>
      <c r="AA75" s="100">
        <f t="shared" si="1"/>
        <v>274</v>
      </c>
      <c r="AB75" s="100">
        <f t="shared" si="1"/>
        <v>279</v>
      </c>
      <c r="AC75" s="100">
        <f t="shared" si="1"/>
        <v>260</v>
      </c>
      <c r="AD75" s="100">
        <f t="shared" si="1"/>
        <v>267</v>
      </c>
      <c r="AE75" s="100">
        <f t="shared" si="1"/>
        <v>244</v>
      </c>
      <c r="AF75" s="100">
        <f t="shared" si="1"/>
        <v>274</v>
      </c>
      <c r="AG75" s="100">
        <f t="shared" si="1"/>
        <v>258</v>
      </c>
      <c r="AH75" s="100">
        <f t="shared" si="1"/>
        <v>261</v>
      </c>
      <c r="AI75" s="100">
        <f t="shared" si="1"/>
        <v>257</v>
      </c>
    </row>
    <row r="76" spans="2:35" ht="12.75">
      <c r="B76" s="101" t="s">
        <v>9</v>
      </c>
      <c r="C76" s="100">
        <f t="shared" si="0"/>
        <v>1144</v>
      </c>
      <c r="D76" s="100">
        <f t="shared" si="0"/>
        <v>1307</v>
      </c>
      <c r="E76" s="100">
        <f t="shared" si="0"/>
        <v>1255</v>
      </c>
      <c r="F76" s="100">
        <f t="shared" si="0"/>
        <v>1206</v>
      </c>
      <c r="G76" s="100">
        <f t="shared" si="0"/>
        <v>1249</v>
      </c>
      <c r="H76" s="100">
        <f t="shared" si="0"/>
        <v>1270</v>
      </c>
      <c r="I76" s="100">
        <f t="shared" si="0"/>
        <v>1340</v>
      </c>
      <c r="J76" s="100">
        <f t="shared" si="0"/>
        <v>1344</v>
      </c>
      <c r="K76" s="100">
        <f t="shared" si="0"/>
        <v>1362</v>
      </c>
      <c r="L76" s="100">
        <f t="shared" si="0"/>
        <v>1296</v>
      </c>
      <c r="M76" s="100">
        <f t="shared" si="0"/>
        <v>1485</v>
      </c>
      <c r="N76" s="100">
        <f t="shared" si="0"/>
        <v>1414</v>
      </c>
      <c r="O76" s="100">
        <f t="shared" si="0"/>
        <v>1506</v>
      </c>
      <c r="P76" s="100">
        <f t="shared" si="0"/>
        <v>1450</v>
      </c>
      <c r="Q76" s="100">
        <f t="shared" si="0"/>
        <v>1386</v>
      </c>
      <c r="R76" s="100">
        <f t="shared" si="0"/>
        <v>1403</v>
      </c>
      <c r="S76" s="100">
        <f t="shared" si="0"/>
        <v>1462</v>
      </c>
      <c r="T76" s="100">
        <f t="shared" si="0"/>
        <v>1421</v>
      </c>
      <c r="U76" s="100">
        <f t="shared" si="0"/>
        <v>1475</v>
      </c>
      <c r="V76" s="100">
        <f t="shared" si="0"/>
        <v>1472</v>
      </c>
      <c r="W76" s="100">
        <f t="shared" si="0"/>
        <v>1426</v>
      </c>
      <c r="X76" s="100">
        <f t="shared" si="0"/>
        <v>1407</v>
      </c>
      <c r="Y76" s="100">
        <f t="shared" si="1"/>
        <v>1464</v>
      </c>
      <c r="Z76" s="100">
        <f t="shared" si="1"/>
        <v>1335</v>
      </c>
      <c r="AA76" s="100">
        <f t="shared" si="1"/>
        <v>1477</v>
      </c>
      <c r="AB76" s="100">
        <f t="shared" si="1"/>
        <v>1449</v>
      </c>
      <c r="AC76" s="100">
        <f t="shared" si="1"/>
        <v>1388</v>
      </c>
      <c r="AD76" s="100">
        <f t="shared" si="1"/>
        <v>1424</v>
      </c>
      <c r="AE76" s="100">
        <f t="shared" si="1"/>
        <v>1363</v>
      </c>
      <c r="AF76" s="100">
        <f t="shared" si="1"/>
        <v>1436</v>
      </c>
      <c r="AG76" s="100">
        <f t="shared" si="1"/>
        <v>1405</v>
      </c>
      <c r="AH76" s="100">
        <f t="shared" si="1"/>
        <v>1363</v>
      </c>
      <c r="AI76" s="100">
        <f t="shared" si="1"/>
        <v>1440</v>
      </c>
    </row>
    <row r="77" spans="2:35" ht="12.75">
      <c r="B77" s="101" t="s">
        <v>10</v>
      </c>
      <c r="C77" s="100">
        <f t="shared" si="0"/>
        <v>438</v>
      </c>
      <c r="D77" s="100">
        <f t="shared" si="0"/>
        <v>501</v>
      </c>
      <c r="E77" s="100">
        <f t="shared" si="0"/>
        <v>448</v>
      </c>
      <c r="F77" s="100">
        <f t="shared" si="0"/>
        <v>484</v>
      </c>
      <c r="G77" s="100">
        <f t="shared" si="0"/>
        <v>496</v>
      </c>
      <c r="H77" s="100">
        <f t="shared" si="0"/>
        <v>506</v>
      </c>
      <c r="I77" s="100">
        <f t="shared" si="0"/>
        <v>526</v>
      </c>
      <c r="J77" s="100">
        <f t="shared" si="0"/>
        <v>568</v>
      </c>
      <c r="K77" s="100">
        <f t="shared" si="0"/>
        <v>528</v>
      </c>
      <c r="L77" s="100">
        <f t="shared" si="0"/>
        <v>501</v>
      </c>
      <c r="M77" s="100">
        <f t="shared" si="0"/>
        <v>564</v>
      </c>
      <c r="N77" s="100">
        <f t="shared" si="0"/>
        <v>546</v>
      </c>
      <c r="O77" s="100">
        <f t="shared" si="0"/>
        <v>568</v>
      </c>
      <c r="P77" s="100">
        <f aca="true" t="shared" si="2" ref="D77:X89">IF(ISERROR(P46),0,P46)</f>
        <v>564</v>
      </c>
      <c r="Q77" s="100">
        <f t="shared" si="2"/>
        <v>545</v>
      </c>
      <c r="R77" s="100">
        <f t="shared" si="2"/>
        <v>556</v>
      </c>
      <c r="S77" s="100">
        <f t="shared" si="2"/>
        <v>530</v>
      </c>
      <c r="T77" s="100">
        <f t="shared" si="2"/>
        <v>536</v>
      </c>
      <c r="U77" s="100">
        <f t="shared" si="2"/>
        <v>529</v>
      </c>
      <c r="V77" s="100">
        <f t="shared" si="2"/>
        <v>551</v>
      </c>
      <c r="W77" s="100">
        <f t="shared" si="2"/>
        <v>532</v>
      </c>
      <c r="X77" s="100">
        <f t="shared" si="2"/>
        <v>542</v>
      </c>
      <c r="Y77" s="100">
        <f t="shared" si="1"/>
        <v>560</v>
      </c>
      <c r="Z77" s="100">
        <f t="shared" si="1"/>
        <v>503</v>
      </c>
      <c r="AA77" s="100">
        <f t="shared" si="1"/>
        <v>553</v>
      </c>
      <c r="AB77" s="100">
        <f t="shared" si="1"/>
        <v>545</v>
      </c>
      <c r="AC77" s="100">
        <f t="shared" si="1"/>
        <v>510</v>
      </c>
      <c r="AD77" s="100">
        <f t="shared" si="1"/>
        <v>550</v>
      </c>
      <c r="AE77" s="100">
        <f t="shared" si="1"/>
        <v>522</v>
      </c>
      <c r="AF77" s="100">
        <f t="shared" si="1"/>
        <v>537</v>
      </c>
      <c r="AG77" s="100">
        <f t="shared" si="1"/>
        <v>538</v>
      </c>
      <c r="AH77" s="100">
        <f t="shared" si="1"/>
        <v>518</v>
      </c>
      <c r="AI77" s="100">
        <f t="shared" si="1"/>
        <v>554</v>
      </c>
    </row>
    <row r="78" spans="2:35" ht="12.75">
      <c r="B78" s="101" t="s">
        <v>11</v>
      </c>
      <c r="C78" s="100">
        <f aca="true" t="shared" si="3" ref="C78:C93">IF(ISERROR(C47),0,C47)</f>
        <v>387</v>
      </c>
      <c r="D78" s="100">
        <f t="shared" si="2"/>
        <v>445</v>
      </c>
      <c r="E78" s="100">
        <f t="shared" si="2"/>
        <v>412</v>
      </c>
      <c r="F78" s="100">
        <f t="shared" si="2"/>
        <v>423</v>
      </c>
      <c r="G78" s="100">
        <f t="shared" si="2"/>
        <v>424</v>
      </c>
      <c r="H78" s="100">
        <f t="shared" si="2"/>
        <v>422</v>
      </c>
      <c r="I78" s="100">
        <f t="shared" si="2"/>
        <v>431</v>
      </c>
      <c r="J78" s="100">
        <f t="shared" si="2"/>
        <v>431</v>
      </c>
      <c r="K78" s="100">
        <f t="shared" si="2"/>
        <v>429</v>
      </c>
      <c r="L78" s="100">
        <f t="shared" si="2"/>
        <v>409</v>
      </c>
      <c r="M78" s="100">
        <f t="shared" si="2"/>
        <v>450</v>
      </c>
      <c r="N78" s="100">
        <f t="shared" si="2"/>
        <v>413</v>
      </c>
      <c r="O78" s="100">
        <f t="shared" si="2"/>
        <v>430</v>
      </c>
      <c r="P78" s="100">
        <f t="shared" si="2"/>
        <v>438</v>
      </c>
      <c r="Q78" s="100">
        <f t="shared" si="2"/>
        <v>419</v>
      </c>
      <c r="R78" s="100">
        <f t="shared" si="2"/>
        <v>440</v>
      </c>
      <c r="S78" s="100">
        <f t="shared" si="2"/>
        <v>444</v>
      </c>
      <c r="T78" s="100">
        <f t="shared" si="2"/>
        <v>426</v>
      </c>
      <c r="U78" s="100">
        <f t="shared" si="2"/>
        <v>455</v>
      </c>
      <c r="V78" s="100">
        <f t="shared" si="2"/>
        <v>457</v>
      </c>
      <c r="W78" s="100">
        <f t="shared" si="2"/>
        <v>451</v>
      </c>
      <c r="X78" s="100">
        <f t="shared" si="2"/>
        <v>424</v>
      </c>
      <c r="Y78" s="100">
        <f t="shared" si="1"/>
        <v>464</v>
      </c>
      <c r="Z78" s="100">
        <f t="shared" si="1"/>
        <v>421</v>
      </c>
      <c r="AA78" s="100">
        <f t="shared" si="1"/>
        <v>449</v>
      </c>
      <c r="AB78" s="100">
        <f t="shared" si="1"/>
        <v>457</v>
      </c>
      <c r="AC78" s="100">
        <f t="shared" si="1"/>
        <v>432</v>
      </c>
      <c r="AD78" s="100">
        <f t="shared" si="1"/>
        <v>434</v>
      </c>
      <c r="AE78" s="100">
        <f t="shared" si="1"/>
        <v>436</v>
      </c>
      <c r="AF78" s="100">
        <f t="shared" si="1"/>
        <v>462</v>
      </c>
      <c r="AG78" s="100">
        <f t="shared" si="1"/>
        <v>432</v>
      </c>
      <c r="AH78" s="100">
        <f t="shared" si="1"/>
        <v>412</v>
      </c>
      <c r="AI78" s="100">
        <f t="shared" si="1"/>
        <v>452</v>
      </c>
    </row>
    <row r="79" spans="2:35" ht="12.75">
      <c r="B79" s="101" t="s">
        <v>12</v>
      </c>
      <c r="C79" s="100">
        <f t="shared" si="3"/>
        <v>20</v>
      </c>
      <c r="D79" s="100">
        <f t="shared" si="2"/>
        <v>28</v>
      </c>
      <c r="E79" s="100">
        <f t="shared" si="2"/>
        <v>20</v>
      </c>
      <c r="F79" s="100">
        <f t="shared" si="2"/>
        <v>22</v>
      </c>
      <c r="G79" s="100">
        <f t="shared" si="2"/>
        <v>25</v>
      </c>
      <c r="H79" s="100">
        <f t="shared" si="2"/>
        <v>28</v>
      </c>
      <c r="I79" s="100">
        <f t="shared" si="2"/>
        <v>36</v>
      </c>
      <c r="J79" s="100">
        <f t="shared" si="2"/>
        <v>37</v>
      </c>
      <c r="K79" s="100">
        <f t="shared" si="2"/>
        <v>42</v>
      </c>
      <c r="L79" s="100">
        <f t="shared" si="2"/>
        <v>42</v>
      </c>
      <c r="M79" s="100">
        <f t="shared" si="2"/>
        <v>39</v>
      </c>
      <c r="N79" s="100">
        <f t="shared" si="2"/>
        <v>44</v>
      </c>
      <c r="O79" s="100">
        <f t="shared" si="2"/>
        <v>38</v>
      </c>
      <c r="P79" s="100">
        <f t="shared" si="2"/>
        <v>44</v>
      </c>
      <c r="Q79" s="100">
        <f t="shared" si="2"/>
        <v>40</v>
      </c>
      <c r="R79" s="100">
        <f t="shared" si="2"/>
        <v>37</v>
      </c>
      <c r="S79" s="100">
        <f t="shared" si="2"/>
        <v>43</v>
      </c>
      <c r="T79" s="100">
        <f t="shared" si="2"/>
        <v>34</v>
      </c>
      <c r="U79" s="100">
        <f t="shared" si="2"/>
        <v>29</v>
      </c>
      <c r="V79" s="100">
        <f t="shared" si="2"/>
        <v>34</v>
      </c>
      <c r="W79" s="100">
        <f t="shared" si="2"/>
        <v>35</v>
      </c>
      <c r="X79" s="100">
        <f t="shared" si="2"/>
        <v>35</v>
      </c>
      <c r="Y79" s="100">
        <f t="shared" si="1"/>
        <v>40</v>
      </c>
      <c r="Z79" s="100">
        <f t="shared" si="1"/>
        <v>34</v>
      </c>
      <c r="AA79" s="100">
        <f t="shared" si="1"/>
        <v>37</v>
      </c>
      <c r="AB79" s="100">
        <f t="shared" si="1"/>
        <v>36</v>
      </c>
      <c r="AC79" s="100">
        <f t="shared" si="1"/>
        <v>37</v>
      </c>
      <c r="AD79" s="100">
        <f t="shared" si="1"/>
        <v>43</v>
      </c>
      <c r="AE79" s="100">
        <f t="shared" si="1"/>
        <v>46</v>
      </c>
      <c r="AF79" s="100">
        <f t="shared" si="1"/>
        <v>43</v>
      </c>
      <c r="AG79" s="100">
        <f t="shared" si="1"/>
        <v>47</v>
      </c>
      <c r="AH79" s="100">
        <f t="shared" si="1"/>
        <v>57</v>
      </c>
      <c r="AI79" s="100">
        <f t="shared" si="1"/>
        <v>61</v>
      </c>
    </row>
    <row r="80" spans="2:35" ht="12.75">
      <c r="B80" s="101" t="s">
        <v>13</v>
      </c>
      <c r="C80" s="100">
        <f t="shared" si="3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71</v>
      </c>
      <c r="Y80" s="100">
        <f t="shared" si="1"/>
        <v>179</v>
      </c>
      <c r="Z80" s="100">
        <f t="shared" si="1"/>
        <v>230</v>
      </c>
      <c r="AA80" s="100">
        <f t="shared" si="1"/>
        <v>317</v>
      </c>
      <c r="AB80" s="100">
        <f t="shared" si="1"/>
        <v>399</v>
      </c>
      <c r="AC80" s="100">
        <f t="shared" si="1"/>
        <v>414</v>
      </c>
      <c r="AD80" s="100">
        <f t="shared" si="1"/>
        <v>462</v>
      </c>
      <c r="AE80" s="100">
        <f t="shared" si="1"/>
        <v>481</v>
      </c>
      <c r="AF80" s="100">
        <f t="shared" si="1"/>
        <v>553</v>
      </c>
      <c r="AG80" s="100">
        <f t="shared" si="1"/>
        <v>574</v>
      </c>
      <c r="AH80" s="100">
        <f t="shared" si="1"/>
        <v>563</v>
      </c>
      <c r="AI80" s="100">
        <f t="shared" si="1"/>
        <v>677</v>
      </c>
    </row>
    <row r="81" spans="2:35" ht="12.75">
      <c r="B81" s="101" t="s">
        <v>14</v>
      </c>
      <c r="C81" s="100">
        <f t="shared" si="3"/>
        <v>193</v>
      </c>
      <c r="D81" s="100">
        <f t="shared" si="2"/>
        <v>287</v>
      </c>
      <c r="E81" s="100">
        <f t="shared" si="2"/>
        <v>302</v>
      </c>
      <c r="F81" s="100">
        <f t="shared" si="2"/>
        <v>325</v>
      </c>
      <c r="G81" s="100">
        <f t="shared" si="2"/>
        <v>351</v>
      </c>
      <c r="H81" s="100">
        <f t="shared" si="2"/>
        <v>321</v>
      </c>
      <c r="I81" s="100">
        <f t="shared" si="2"/>
        <v>305</v>
      </c>
      <c r="J81" s="100">
        <f t="shared" si="2"/>
        <v>312</v>
      </c>
      <c r="K81" s="100">
        <f t="shared" si="2"/>
        <v>302</v>
      </c>
      <c r="L81" s="100">
        <f t="shared" si="2"/>
        <v>325</v>
      </c>
      <c r="M81" s="100">
        <f t="shared" si="2"/>
        <v>364</v>
      </c>
      <c r="N81" s="100">
        <f t="shared" si="2"/>
        <v>362</v>
      </c>
      <c r="O81" s="100">
        <f t="shared" si="2"/>
        <v>400</v>
      </c>
      <c r="P81" s="100">
        <f t="shared" si="2"/>
        <v>423</v>
      </c>
      <c r="Q81" s="100">
        <f t="shared" si="2"/>
        <v>416</v>
      </c>
      <c r="R81" s="100">
        <f t="shared" si="2"/>
        <v>425</v>
      </c>
      <c r="S81" s="100">
        <f t="shared" si="2"/>
        <v>444</v>
      </c>
      <c r="T81" s="100">
        <f t="shared" si="2"/>
        <v>427</v>
      </c>
      <c r="U81" s="100">
        <f t="shared" si="2"/>
        <v>455</v>
      </c>
      <c r="V81" s="100">
        <f t="shared" si="2"/>
        <v>487</v>
      </c>
      <c r="W81" s="100">
        <f t="shared" si="2"/>
        <v>484</v>
      </c>
      <c r="X81" s="100">
        <f t="shared" si="2"/>
        <v>486</v>
      </c>
      <c r="Y81" s="100">
        <f t="shared" si="1"/>
        <v>532</v>
      </c>
      <c r="Z81" s="100">
        <f t="shared" si="1"/>
        <v>478</v>
      </c>
      <c r="AA81" s="100">
        <f t="shared" si="1"/>
        <v>542</v>
      </c>
      <c r="AB81" s="100">
        <f t="shared" si="1"/>
        <v>575</v>
      </c>
      <c r="AC81" s="100">
        <f t="shared" si="1"/>
        <v>538</v>
      </c>
      <c r="AD81" s="100">
        <f t="shared" si="1"/>
        <v>585</v>
      </c>
      <c r="AE81" s="100">
        <f t="shared" si="1"/>
        <v>546</v>
      </c>
      <c r="AF81" s="100">
        <f t="shared" si="1"/>
        <v>590</v>
      </c>
      <c r="AG81" s="100">
        <f t="shared" si="1"/>
        <v>582</v>
      </c>
      <c r="AH81" s="100">
        <f t="shared" si="1"/>
        <v>570</v>
      </c>
      <c r="AI81" s="100">
        <f t="shared" si="1"/>
        <v>608</v>
      </c>
    </row>
    <row r="82" spans="2:35" ht="12.75">
      <c r="B82" s="101" t="s">
        <v>15</v>
      </c>
      <c r="C82" s="100">
        <f t="shared" si="3"/>
        <v>14</v>
      </c>
      <c r="D82" s="100">
        <f t="shared" si="2"/>
        <v>17</v>
      </c>
      <c r="E82" s="100">
        <f t="shared" si="2"/>
        <v>17</v>
      </c>
      <c r="F82" s="100">
        <f t="shared" si="2"/>
        <v>21</v>
      </c>
      <c r="G82" s="100">
        <f t="shared" si="2"/>
        <v>27</v>
      </c>
      <c r="H82" s="100">
        <f t="shared" si="2"/>
        <v>23</v>
      </c>
      <c r="I82" s="100">
        <f t="shared" si="2"/>
        <v>22</v>
      </c>
      <c r="J82" s="100">
        <f t="shared" si="2"/>
        <v>30</v>
      </c>
      <c r="K82" s="100">
        <f t="shared" si="2"/>
        <v>28</v>
      </c>
      <c r="L82" s="100">
        <f t="shared" si="2"/>
        <v>29</v>
      </c>
      <c r="M82" s="100">
        <f t="shared" si="2"/>
        <v>37</v>
      </c>
      <c r="N82" s="100">
        <f t="shared" si="2"/>
        <v>33</v>
      </c>
      <c r="O82" s="100">
        <f t="shared" si="2"/>
        <v>40</v>
      </c>
      <c r="P82" s="100">
        <f t="shared" si="2"/>
        <v>41</v>
      </c>
      <c r="Q82" s="100">
        <f t="shared" si="2"/>
        <v>46</v>
      </c>
      <c r="R82" s="100">
        <f t="shared" si="2"/>
        <v>42</v>
      </c>
      <c r="S82" s="100">
        <f t="shared" si="2"/>
        <v>38</v>
      </c>
      <c r="T82" s="100">
        <f t="shared" si="2"/>
        <v>44</v>
      </c>
      <c r="U82" s="100">
        <f t="shared" si="2"/>
        <v>44</v>
      </c>
      <c r="V82" s="100">
        <f t="shared" si="2"/>
        <v>47</v>
      </c>
      <c r="W82" s="100">
        <f t="shared" si="2"/>
        <v>48</v>
      </c>
      <c r="X82" s="100">
        <f t="shared" si="2"/>
        <v>51</v>
      </c>
      <c r="Y82" s="100">
        <f aca="true" t="shared" si="4" ref="Y82:AI88">IF(ISERROR(Y51),0,Y51)</f>
        <v>44</v>
      </c>
      <c r="Z82" s="100">
        <f t="shared" si="4"/>
        <v>46</v>
      </c>
      <c r="AA82" s="100">
        <f t="shared" si="4"/>
        <v>54</v>
      </c>
      <c r="AB82" s="100">
        <f t="shared" si="4"/>
        <v>59</v>
      </c>
      <c r="AC82" s="100">
        <f t="shared" si="4"/>
        <v>48</v>
      </c>
      <c r="AD82" s="100">
        <f t="shared" si="4"/>
        <v>58</v>
      </c>
      <c r="AE82" s="100">
        <f t="shared" si="4"/>
        <v>59</v>
      </c>
      <c r="AF82" s="100">
        <f t="shared" si="4"/>
        <v>57</v>
      </c>
      <c r="AG82" s="100">
        <f t="shared" si="4"/>
        <v>61</v>
      </c>
      <c r="AH82" s="100">
        <f t="shared" si="4"/>
        <v>72</v>
      </c>
      <c r="AI82" s="100">
        <f t="shared" si="4"/>
        <v>70</v>
      </c>
    </row>
    <row r="83" spans="2:35" ht="12.75">
      <c r="B83" s="101" t="s">
        <v>16</v>
      </c>
      <c r="C83" s="100">
        <f t="shared" si="3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23</v>
      </c>
      <c r="L83" s="100">
        <f t="shared" si="2"/>
        <v>62</v>
      </c>
      <c r="M83" s="100">
        <f t="shared" si="2"/>
        <v>131</v>
      </c>
      <c r="N83" s="100">
        <f t="shared" si="2"/>
        <v>159</v>
      </c>
      <c r="O83" s="100">
        <f t="shared" si="2"/>
        <v>221</v>
      </c>
      <c r="P83" s="100">
        <f t="shared" si="2"/>
        <v>226</v>
      </c>
      <c r="Q83" s="100">
        <f t="shared" si="2"/>
        <v>246</v>
      </c>
      <c r="R83" s="100">
        <f t="shared" si="2"/>
        <v>249</v>
      </c>
      <c r="S83" s="100">
        <f t="shared" si="2"/>
        <v>264</v>
      </c>
      <c r="T83" s="100">
        <f t="shared" si="2"/>
        <v>294</v>
      </c>
      <c r="U83" s="100">
        <f t="shared" si="2"/>
        <v>306</v>
      </c>
      <c r="V83" s="100">
        <f t="shared" si="2"/>
        <v>325</v>
      </c>
      <c r="W83" s="100">
        <f t="shared" si="2"/>
        <v>339</v>
      </c>
      <c r="X83" s="100">
        <f t="shared" si="2"/>
        <v>350</v>
      </c>
      <c r="Y83" s="100">
        <f t="shared" si="4"/>
        <v>378</v>
      </c>
      <c r="Z83" s="100">
        <f t="shared" si="4"/>
        <v>364</v>
      </c>
      <c r="AA83" s="100">
        <f t="shared" si="4"/>
        <v>393</v>
      </c>
      <c r="AB83" s="100">
        <f t="shared" si="4"/>
        <v>410</v>
      </c>
      <c r="AC83" s="100">
        <f t="shared" si="4"/>
        <v>393</v>
      </c>
      <c r="AD83" s="100">
        <f t="shared" si="4"/>
        <v>410</v>
      </c>
      <c r="AE83" s="100">
        <f t="shared" si="4"/>
        <v>382</v>
      </c>
      <c r="AF83" s="100">
        <f t="shared" si="4"/>
        <v>398</v>
      </c>
      <c r="AG83" s="100">
        <f t="shared" si="4"/>
        <v>399</v>
      </c>
      <c r="AH83" s="100">
        <f t="shared" si="4"/>
        <v>384</v>
      </c>
      <c r="AI83" s="100">
        <f t="shared" si="4"/>
        <v>431</v>
      </c>
    </row>
    <row r="84" spans="2:35" ht="12.75">
      <c r="B84" s="101" t="s">
        <v>17</v>
      </c>
      <c r="C84" s="100">
        <f t="shared" si="3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8</v>
      </c>
      <c r="X84" s="100">
        <f t="shared" si="2"/>
        <v>27</v>
      </c>
      <c r="Y84" s="100">
        <f t="shared" si="4"/>
        <v>65</v>
      </c>
      <c r="Z84" s="100">
        <f t="shared" si="4"/>
        <v>81</v>
      </c>
      <c r="AA84" s="100">
        <f t="shared" si="4"/>
        <v>138</v>
      </c>
      <c r="AB84" s="100">
        <f t="shared" si="4"/>
        <v>142</v>
      </c>
      <c r="AC84" s="100">
        <f t="shared" si="4"/>
        <v>141</v>
      </c>
      <c r="AD84" s="100">
        <f t="shared" si="4"/>
        <v>163</v>
      </c>
      <c r="AE84" s="100">
        <f t="shared" si="4"/>
        <v>184</v>
      </c>
      <c r="AF84" s="100">
        <f t="shared" si="4"/>
        <v>181</v>
      </c>
      <c r="AG84" s="100">
        <f t="shared" si="4"/>
        <v>176</v>
      </c>
      <c r="AH84" s="100">
        <f t="shared" si="4"/>
        <v>193</v>
      </c>
      <c r="AI84" s="100">
        <f t="shared" si="4"/>
        <v>221</v>
      </c>
    </row>
    <row r="85" spans="2:35" ht="12.75">
      <c r="B85" s="101" t="s">
        <v>18</v>
      </c>
      <c r="C85" s="100">
        <f t="shared" si="3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t="shared" si="2"/>
        <v>0</v>
      </c>
      <c r="Q85" s="100">
        <f t="shared" si="2"/>
        <v>0</v>
      </c>
      <c r="R85" s="100">
        <f t="shared" si="2"/>
        <v>0</v>
      </c>
      <c r="S85" s="100">
        <f t="shared" si="2"/>
        <v>0</v>
      </c>
      <c r="T85" s="100">
        <f t="shared" si="2"/>
        <v>0</v>
      </c>
      <c r="U85" s="100">
        <f t="shared" si="2"/>
        <v>0</v>
      </c>
      <c r="V85" s="100">
        <f t="shared" si="2"/>
        <v>0</v>
      </c>
      <c r="W85" s="100">
        <f t="shared" si="2"/>
        <v>0</v>
      </c>
      <c r="X85" s="100">
        <f t="shared" si="2"/>
        <v>10</v>
      </c>
      <c r="Y85" s="100">
        <f t="shared" si="4"/>
        <v>28</v>
      </c>
      <c r="Z85" s="100">
        <f t="shared" si="4"/>
        <v>30</v>
      </c>
      <c r="AA85" s="100">
        <f t="shared" si="4"/>
        <v>49</v>
      </c>
      <c r="AB85" s="100">
        <f t="shared" si="4"/>
        <v>56</v>
      </c>
      <c r="AC85" s="100">
        <f t="shared" si="4"/>
        <v>56</v>
      </c>
      <c r="AD85" s="100">
        <f t="shared" si="4"/>
        <v>61</v>
      </c>
      <c r="AE85" s="100">
        <f t="shared" si="4"/>
        <v>64</v>
      </c>
      <c r="AF85" s="100">
        <f t="shared" si="4"/>
        <v>67</v>
      </c>
      <c r="AG85" s="100">
        <f t="shared" si="4"/>
        <v>85</v>
      </c>
      <c r="AH85" s="100">
        <f t="shared" si="4"/>
        <v>90</v>
      </c>
      <c r="AI85" s="100">
        <f t="shared" si="4"/>
        <v>93</v>
      </c>
    </row>
    <row r="86" spans="2:35" ht="12.75">
      <c r="B86" s="101" t="s">
        <v>19</v>
      </c>
      <c r="C86" s="100">
        <f t="shared" si="3"/>
        <v>39</v>
      </c>
      <c r="D86" s="100">
        <f t="shared" si="2"/>
        <v>27</v>
      </c>
      <c r="E86" s="100">
        <f t="shared" si="2"/>
        <v>30</v>
      </c>
      <c r="F86" s="100">
        <f t="shared" si="2"/>
        <v>30</v>
      </c>
      <c r="G86" s="100">
        <f t="shared" si="2"/>
        <v>28</v>
      </c>
      <c r="H86" s="100">
        <f t="shared" si="2"/>
        <v>27</v>
      </c>
      <c r="I86" s="100">
        <f t="shared" si="2"/>
        <v>24</v>
      </c>
      <c r="J86" s="100">
        <f t="shared" si="2"/>
        <v>29</v>
      </c>
      <c r="K86" s="100">
        <f t="shared" si="2"/>
        <v>24</v>
      </c>
      <c r="L86" s="100">
        <f t="shared" si="2"/>
        <v>25</v>
      </c>
      <c r="M86" s="100">
        <f t="shared" si="2"/>
        <v>30</v>
      </c>
      <c r="N86" s="100">
        <f t="shared" si="2"/>
        <v>29</v>
      </c>
      <c r="O86" s="100">
        <f t="shared" si="2"/>
        <v>27</v>
      </c>
      <c r="P86" s="100">
        <f t="shared" si="2"/>
        <v>27</v>
      </c>
      <c r="Q86" s="100">
        <f t="shared" si="2"/>
        <v>30</v>
      </c>
      <c r="R86" s="100">
        <f t="shared" si="2"/>
        <v>32</v>
      </c>
      <c r="S86" s="100">
        <f t="shared" si="2"/>
        <v>24</v>
      </c>
      <c r="T86" s="100">
        <f t="shared" si="2"/>
        <v>32</v>
      </c>
      <c r="U86" s="100">
        <f t="shared" si="2"/>
        <v>29</v>
      </c>
      <c r="V86" s="100">
        <f t="shared" si="2"/>
        <v>30</v>
      </c>
      <c r="W86" s="100">
        <f t="shared" si="2"/>
        <v>32</v>
      </c>
      <c r="X86" s="100">
        <f t="shared" si="2"/>
        <v>25</v>
      </c>
      <c r="Y86" s="100">
        <f t="shared" si="4"/>
        <v>34</v>
      </c>
      <c r="Z86" s="100">
        <f t="shared" si="4"/>
        <v>28</v>
      </c>
      <c r="AA86" s="100">
        <f t="shared" si="4"/>
        <v>27</v>
      </c>
      <c r="AB86" s="100">
        <f t="shared" si="4"/>
        <v>35</v>
      </c>
      <c r="AC86" s="100">
        <f t="shared" si="4"/>
        <v>28</v>
      </c>
      <c r="AD86" s="100">
        <f t="shared" si="4"/>
        <v>32</v>
      </c>
      <c r="AE86" s="100">
        <f t="shared" si="4"/>
        <v>28</v>
      </c>
      <c r="AF86" s="100">
        <f t="shared" si="4"/>
        <v>34</v>
      </c>
      <c r="AG86" s="100">
        <f t="shared" si="4"/>
        <v>36</v>
      </c>
      <c r="AH86" s="100">
        <f t="shared" si="4"/>
        <v>30</v>
      </c>
      <c r="AI86" s="100">
        <f t="shared" si="4"/>
        <v>35</v>
      </c>
    </row>
    <row r="87" spans="2:35" ht="12.75">
      <c r="B87" s="101" t="s">
        <v>20</v>
      </c>
      <c r="C87" s="100">
        <f t="shared" si="3"/>
        <v>163</v>
      </c>
      <c r="D87" s="100">
        <f t="shared" si="2"/>
        <v>205</v>
      </c>
      <c r="E87" s="100">
        <f t="shared" si="2"/>
        <v>209</v>
      </c>
      <c r="F87" s="100">
        <f t="shared" si="2"/>
        <v>181</v>
      </c>
      <c r="G87" s="100">
        <f t="shared" si="2"/>
        <v>192</v>
      </c>
      <c r="H87" s="100">
        <f t="shared" si="2"/>
        <v>159</v>
      </c>
      <c r="I87" s="100">
        <f t="shared" si="2"/>
        <v>198</v>
      </c>
      <c r="J87" s="100">
        <f t="shared" si="2"/>
        <v>199</v>
      </c>
      <c r="K87" s="100">
        <f t="shared" si="2"/>
        <v>186</v>
      </c>
      <c r="L87" s="100">
        <f t="shared" si="2"/>
        <v>191</v>
      </c>
      <c r="M87" s="100">
        <f t="shared" si="2"/>
        <v>198</v>
      </c>
      <c r="N87" s="100">
        <f t="shared" si="2"/>
        <v>181</v>
      </c>
      <c r="O87" s="100">
        <f t="shared" si="2"/>
        <v>194</v>
      </c>
      <c r="P87" s="100">
        <f t="shared" si="2"/>
        <v>180</v>
      </c>
      <c r="Q87" s="100">
        <f t="shared" si="2"/>
        <v>176</v>
      </c>
      <c r="R87" s="100">
        <f t="shared" si="2"/>
        <v>189</v>
      </c>
      <c r="S87" s="100">
        <f t="shared" si="2"/>
        <v>183</v>
      </c>
      <c r="T87" s="100">
        <f t="shared" si="2"/>
        <v>190</v>
      </c>
      <c r="U87" s="100">
        <f t="shared" si="2"/>
        <v>203</v>
      </c>
      <c r="V87" s="100">
        <f t="shared" si="2"/>
        <v>191</v>
      </c>
      <c r="W87" s="100">
        <f t="shared" si="2"/>
        <v>196</v>
      </c>
      <c r="X87" s="100">
        <f t="shared" si="2"/>
        <v>176</v>
      </c>
      <c r="Y87" s="100">
        <f t="shared" si="4"/>
        <v>203</v>
      </c>
      <c r="Z87" s="100">
        <f t="shared" si="4"/>
        <v>159</v>
      </c>
      <c r="AA87" s="100">
        <f t="shared" si="4"/>
        <v>184</v>
      </c>
      <c r="AB87" s="100">
        <f t="shared" si="4"/>
        <v>175</v>
      </c>
      <c r="AC87" s="100">
        <f t="shared" si="4"/>
        <v>168</v>
      </c>
      <c r="AD87" s="100">
        <f t="shared" si="4"/>
        <v>170</v>
      </c>
      <c r="AE87" s="100">
        <f t="shared" si="4"/>
        <v>166</v>
      </c>
      <c r="AF87" s="100">
        <f t="shared" si="4"/>
        <v>179</v>
      </c>
      <c r="AG87" s="100">
        <f t="shared" si="4"/>
        <v>163</v>
      </c>
      <c r="AH87" s="100">
        <f t="shared" si="4"/>
        <v>146</v>
      </c>
      <c r="AI87" s="100">
        <f t="shared" si="4"/>
        <v>171</v>
      </c>
    </row>
    <row r="88" spans="2:35" ht="12.75">
      <c r="B88" s="101" t="s">
        <v>21</v>
      </c>
      <c r="C88" s="100">
        <f t="shared" si="3"/>
        <v>64</v>
      </c>
      <c r="D88" s="100">
        <f t="shared" si="2"/>
        <v>79</v>
      </c>
      <c r="E88" s="100">
        <f t="shared" si="2"/>
        <v>79</v>
      </c>
      <c r="F88" s="100">
        <f t="shared" si="2"/>
        <v>73</v>
      </c>
      <c r="G88" s="100">
        <f t="shared" si="2"/>
        <v>74</v>
      </c>
      <c r="H88" s="100">
        <f t="shared" si="2"/>
        <v>74</v>
      </c>
      <c r="I88" s="100">
        <f t="shared" si="2"/>
        <v>78</v>
      </c>
      <c r="J88" s="100">
        <f t="shared" si="2"/>
        <v>76</v>
      </c>
      <c r="K88" s="100">
        <f t="shared" si="2"/>
        <v>75</v>
      </c>
      <c r="L88" s="100">
        <f t="shared" si="2"/>
        <v>73</v>
      </c>
      <c r="M88" s="100">
        <f t="shared" si="2"/>
        <v>87</v>
      </c>
      <c r="N88" s="100">
        <f t="shared" si="2"/>
        <v>76</v>
      </c>
      <c r="O88" s="100">
        <f t="shared" si="2"/>
        <v>85</v>
      </c>
      <c r="P88" s="100">
        <f t="shared" si="2"/>
        <v>86</v>
      </c>
      <c r="Q88" s="100">
        <f t="shared" si="2"/>
        <v>69</v>
      </c>
      <c r="R88" s="100">
        <f t="shared" si="2"/>
        <v>77</v>
      </c>
      <c r="S88" s="100">
        <f t="shared" si="2"/>
        <v>81</v>
      </c>
      <c r="T88" s="100">
        <f t="shared" si="2"/>
        <v>82</v>
      </c>
      <c r="U88" s="100">
        <f t="shared" si="2"/>
        <v>79</v>
      </c>
      <c r="V88" s="100">
        <f t="shared" si="2"/>
        <v>92</v>
      </c>
      <c r="W88" s="100">
        <f t="shared" si="2"/>
        <v>97</v>
      </c>
      <c r="X88" s="100">
        <f t="shared" si="2"/>
        <v>84</v>
      </c>
      <c r="Y88" s="100">
        <f t="shared" si="4"/>
        <v>88</v>
      </c>
      <c r="Z88" s="100">
        <f t="shared" si="4"/>
        <v>78</v>
      </c>
      <c r="AA88" s="100">
        <f t="shared" si="4"/>
        <v>83</v>
      </c>
      <c r="AB88" s="100">
        <f t="shared" si="4"/>
        <v>81</v>
      </c>
      <c r="AC88" s="100">
        <f t="shared" si="4"/>
        <v>87</v>
      </c>
      <c r="AD88" s="100">
        <f t="shared" si="4"/>
        <v>91</v>
      </c>
      <c r="AE88" s="100">
        <f t="shared" si="4"/>
        <v>82</v>
      </c>
      <c r="AF88" s="100">
        <f t="shared" si="4"/>
        <v>96</v>
      </c>
      <c r="AG88" s="100">
        <f t="shared" si="4"/>
        <v>72</v>
      </c>
      <c r="AH88" s="100">
        <f t="shared" si="4"/>
        <v>90</v>
      </c>
      <c r="AI88" s="100">
        <f t="shared" si="4"/>
        <v>83</v>
      </c>
    </row>
    <row r="89" spans="2:35" ht="12.75">
      <c r="B89" s="101" t="s">
        <v>22</v>
      </c>
      <c r="C89" s="100">
        <f t="shared" si="3"/>
        <v>34</v>
      </c>
      <c r="D89" s="100">
        <f t="shared" si="2"/>
        <v>38</v>
      </c>
      <c r="E89" s="100">
        <f t="shared" si="2"/>
        <v>34</v>
      </c>
      <c r="F89" s="100">
        <f t="shared" si="2"/>
        <v>32</v>
      </c>
      <c r="G89" s="100">
        <f t="shared" si="2"/>
        <v>32</v>
      </c>
      <c r="H89" s="100">
        <f t="shared" si="2"/>
        <v>25</v>
      </c>
      <c r="I89" s="100">
        <f t="shared" si="2"/>
        <v>28</v>
      </c>
      <c r="J89" s="100">
        <f t="shared" si="2"/>
        <v>25</v>
      </c>
      <c r="K89" s="100">
        <f t="shared" si="2"/>
        <v>34</v>
      </c>
      <c r="L89" s="100">
        <f t="shared" si="2"/>
        <v>25</v>
      </c>
      <c r="M89" s="100">
        <f t="shared" si="2"/>
        <v>31</v>
      </c>
      <c r="N89" s="100">
        <f t="shared" si="2"/>
        <v>28</v>
      </c>
      <c r="O89" s="100">
        <f t="shared" si="2"/>
        <v>28</v>
      </c>
      <c r="P89" s="100">
        <f t="shared" si="2"/>
        <v>26</v>
      </c>
      <c r="Q89" s="100">
        <f t="shared" si="2"/>
        <v>26</v>
      </c>
      <c r="R89" s="100">
        <f t="shared" si="2"/>
        <v>27</v>
      </c>
      <c r="S89" s="100">
        <f aca="true" t="shared" si="5" ref="D89:X94">IF(ISERROR(S58),0,S58)</f>
        <v>25</v>
      </c>
      <c r="T89" s="100">
        <f t="shared" si="5"/>
        <v>28</v>
      </c>
      <c r="U89" s="100">
        <f t="shared" si="5"/>
        <v>24</v>
      </c>
      <c r="V89" s="100">
        <f t="shared" si="5"/>
        <v>31</v>
      </c>
      <c r="W89" s="100">
        <f t="shared" si="5"/>
        <v>28</v>
      </c>
      <c r="X89" s="100">
        <f t="shared" si="5"/>
        <v>24</v>
      </c>
      <c r="Y89" s="100">
        <f aca="true" t="shared" si="6" ref="Y89:AI89">IF(ISERROR(Y58),0,Y58)</f>
        <v>26</v>
      </c>
      <c r="Z89" s="100">
        <f t="shared" si="6"/>
        <v>19</v>
      </c>
      <c r="AA89" s="100">
        <f t="shared" si="6"/>
        <v>22</v>
      </c>
      <c r="AB89" s="100">
        <f t="shared" si="6"/>
        <v>24</v>
      </c>
      <c r="AC89" s="100">
        <f t="shared" si="6"/>
        <v>27</v>
      </c>
      <c r="AD89" s="100">
        <f t="shared" si="6"/>
        <v>25</v>
      </c>
      <c r="AE89" s="100">
        <f t="shared" si="6"/>
        <v>23</v>
      </c>
      <c r="AF89" s="100">
        <f t="shared" si="6"/>
        <v>28</v>
      </c>
      <c r="AG89" s="100">
        <f t="shared" si="6"/>
        <v>30</v>
      </c>
      <c r="AH89" s="100">
        <f t="shared" si="6"/>
        <v>31</v>
      </c>
      <c r="AI89" s="100">
        <f t="shared" si="6"/>
        <v>26</v>
      </c>
    </row>
    <row r="90" spans="2:35" ht="12.75">
      <c r="B90" s="101" t="s">
        <v>23</v>
      </c>
      <c r="C90" s="100">
        <f t="shared" si="3"/>
        <v>0</v>
      </c>
      <c r="D90" s="100">
        <f t="shared" si="5"/>
        <v>0</v>
      </c>
      <c r="E90" s="100">
        <f t="shared" si="5"/>
        <v>0</v>
      </c>
      <c r="F90" s="100">
        <f t="shared" si="5"/>
        <v>0</v>
      </c>
      <c r="G90" s="100">
        <f t="shared" si="5"/>
        <v>0</v>
      </c>
      <c r="H90" s="100">
        <f t="shared" si="5"/>
        <v>0</v>
      </c>
      <c r="I90" s="100">
        <f t="shared" si="5"/>
        <v>0</v>
      </c>
      <c r="J90" s="100">
        <f t="shared" si="5"/>
        <v>0</v>
      </c>
      <c r="K90" s="100">
        <f t="shared" si="5"/>
        <v>0</v>
      </c>
      <c r="L90" s="100">
        <f t="shared" si="5"/>
        <v>0</v>
      </c>
      <c r="M90" s="100">
        <f t="shared" si="5"/>
        <v>0</v>
      </c>
      <c r="N90" s="100">
        <f t="shared" si="5"/>
        <v>0</v>
      </c>
      <c r="O90" s="100">
        <f t="shared" si="5"/>
        <v>0</v>
      </c>
      <c r="P90" s="100">
        <f t="shared" si="5"/>
        <v>0</v>
      </c>
      <c r="Q90" s="100">
        <f t="shared" si="5"/>
        <v>0</v>
      </c>
      <c r="R90" s="100">
        <f t="shared" si="5"/>
        <v>0</v>
      </c>
      <c r="S90" s="100">
        <f t="shared" si="5"/>
        <v>0</v>
      </c>
      <c r="T90" s="100">
        <f t="shared" si="5"/>
        <v>0</v>
      </c>
      <c r="U90" s="100">
        <f t="shared" si="5"/>
        <v>0</v>
      </c>
      <c r="V90" s="100">
        <f t="shared" si="5"/>
        <v>0</v>
      </c>
      <c r="W90" s="100">
        <f t="shared" si="5"/>
        <v>0</v>
      </c>
      <c r="X90" s="100">
        <f t="shared" si="5"/>
        <v>0</v>
      </c>
      <c r="Y90" s="100">
        <f aca="true" t="shared" si="7" ref="Y90:AI90">IF(ISERROR(Y59),0,Y59)</f>
        <v>98</v>
      </c>
      <c r="Z90" s="100">
        <f t="shared" si="7"/>
        <v>232</v>
      </c>
      <c r="AA90" s="100">
        <f t="shared" si="7"/>
        <v>396</v>
      </c>
      <c r="AB90" s="100">
        <f t="shared" si="7"/>
        <v>555</v>
      </c>
      <c r="AC90" s="100">
        <f t="shared" si="7"/>
        <v>611</v>
      </c>
      <c r="AD90" s="100">
        <f t="shared" si="7"/>
        <v>669</v>
      </c>
      <c r="AE90" s="100">
        <f t="shared" si="7"/>
        <v>686</v>
      </c>
      <c r="AF90" s="100">
        <f t="shared" si="7"/>
        <v>765</v>
      </c>
      <c r="AG90" s="100">
        <f t="shared" si="7"/>
        <v>770</v>
      </c>
      <c r="AH90" s="100">
        <f t="shared" si="7"/>
        <v>759</v>
      </c>
      <c r="AI90" s="100">
        <f t="shared" si="7"/>
        <v>842</v>
      </c>
    </row>
    <row r="91" spans="2:35" ht="12.75">
      <c r="B91" s="101" t="s">
        <v>24</v>
      </c>
      <c r="C91" s="100">
        <f t="shared" si="3"/>
        <v>1176</v>
      </c>
      <c r="D91" s="100">
        <f t="shared" si="5"/>
        <v>1335</v>
      </c>
      <c r="E91" s="100">
        <f t="shared" si="5"/>
        <v>1303</v>
      </c>
      <c r="F91" s="100">
        <f t="shared" si="5"/>
        <v>1253</v>
      </c>
      <c r="G91" s="100">
        <f t="shared" si="5"/>
        <v>1280</v>
      </c>
      <c r="H91" s="100">
        <f t="shared" si="5"/>
        <v>1292</v>
      </c>
      <c r="I91" s="100">
        <f t="shared" si="5"/>
        <v>1384</v>
      </c>
      <c r="J91" s="100">
        <f t="shared" si="5"/>
        <v>1424</v>
      </c>
      <c r="K91" s="100">
        <f t="shared" si="5"/>
        <v>1413</v>
      </c>
      <c r="L91" s="100">
        <f t="shared" si="5"/>
        <v>1357</v>
      </c>
      <c r="M91" s="100">
        <f t="shared" si="5"/>
        <v>1472</v>
      </c>
      <c r="N91" s="100">
        <f t="shared" si="5"/>
        <v>1427</v>
      </c>
      <c r="O91" s="100">
        <f t="shared" si="5"/>
        <v>1466</v>
      </c>
      <c r="P91" s="100">
        <f t="shared" si="5"/>
        <v>1459</v>
      </c>
      <c r="Q91" s="100">
        <f t="shared" si="5"/>
        <v>1404</v>
      </c>
      <c r="R91" s="100">
        <f t="shared" si="5"/>
        <v>1448</v>
      </c>
      <c r="S91" s="100">
        <f t="shared" si="5"/>
        <v>1445</v>
      </c>
      <c r="T91" s="100">
        <f t="shared" si="5"/>
        <v>1441</v>
      </c>
      <c r="U91" s="100">
        <f t="shared" si="5"/>
        <v>1475</v>
      </c>
      <c r="V91" s="100">
        <f t="shared" si="5"/>
        <v>1495</v>
      </c>
      <c r="W91" s="100">
        <f t="shared" si="5"/>
        <v>1443</v>
      </c>
      <c r="X91" s="100">
        <f t="shared" si="5"/>
        <v>1414</v>
      </c>
      <c r="Y91" s="100">
        <f aca="true" t="shared" si="8" ref="Y91:AI91">IF(ISERROR(Y60),0,Y60)</f>
        <v>1459</v>
      </c>
      <c r="Z91" s="100">
        <f t="shared" si="8"/>
        <v>1180</v>
      </c>
      <c r="AA91" s="100">
        <f t="shared" si="8"/>
        <v>1124</v>
      </c>
      <c r="AB91" s="100">
        <f t="shared" si="8"/>
        <v>1066</v>
      </c>
      <c r="AC91" s="100">
        <f t="shared" si="8"/>
        <v>935</v>
      </c>
      <c r="AD91" s="100">
        <f t="shared" si="8"/>
        <v>954</v>
      </c>
      <c r="AE91" s="100">
        <f t="shared" si="8"/>
        <v>856</v>
      </c>
      <c r="AF91" s="100">
        <f t="shared" si="8"/>
        <v>912</v>
      </c>
      <c r="AG91" s="100">
        <f t="shared" si="8"/>
        <v>845</v>
      </c>
      <c r="AH91" s="100">
        <f t="shared" si="8"/>
        <v>831</v>
      </c>
      <c r="AI91" s="100">
        <f t="shared" si="8"/>
        <v>877</v>
      </c>
    </row>
    <row r="92" spans="2:35" ht="12.75">
      <c r="B92" s="101" t="s">
        <v>25</v>
      </c>
      <c r="C92" s="100">
        <f t="shared" si="3"/>
        <v>704</v>
      </c>
      <c r="D92" s="100">
        <f t="shared" si="5"/>
        <v>805</v>
      </c>
      <c r="E92" s="100">
        <f t="shared" si="5"/>
        <v>794</v>
      </c>
      <c r="F92" s="100">
        <f t="shared" si="5"/>
        <v>762</v>
      </c>
      <c r="G92" s="100">
        <f t="shared" si="5"/>
        <v>769</v>
      </c>
      <c r="H92" s="100">
        <f t="shared" si="5"/>
        <v>767</v>
      </c>
      <c r="I92" s="100">
        <f t="shared" si="5"/>
        <v>769</v>
      </c>
      <c r="J92" s="100">
        <f t="shared" si="5"/>
        <v>794</v>
      </c>
      <c r="K92" s="100">
        <f t="shared" si="5"/>
        <v>754</v>
      </c>
      <c r="L92" s="100">
        <f t="shared" si="5"/>
        <v>704</v>
      </c>
      <c r="M92" s="100">
        <f t="shared" si="5"/>
        <v>765</v>
      </c>
      <c r="N92" s="100">
        <f t="shared" si="5"/>
        <v>766</v>
      </c>
      <c r="O92" s="100">
        <f t="shared" si="5"/>
        <v>773</v>
      </c>
      <c r="P92" s="100">
        <f t="shared" si="5"/>
        <v>724</v>
      </c>
      <c r="Q92" s="100">
        <f t="shared" si="5"/>
        <v>708</v>
      </c>
      <c r="R92" s="100">
        <f t="shared" si="5"/>
        <v>728</v>
      </c>
      <c r="S92" s="100">
        <f t="shared" si="5"/>
        <v>738</v>
      </c>
      <c r="T92" s="100">
        <f t="shared" si="5"/>
        <v>708</v>
      </c>
      <c r="U92" s="100">
        <f t="shared" si="5"/>
        <v>760</v>
      </c>
      <c r="V92" s="100">
        <f t="shared" si="5"/>
        <v>738</v>
      </c>
      <c r="W92" s="100">
        <f t="shared" si="5"/>
        <v>730</v>
      </c>
      <c r="X92" s="100">
        <f t="shared" si="5"/>
        <v>712</v>
      </c>
      <c r="Y92" s="100">
        <f aca="true" t="shared" si="9" ref="Y92:AI92">IF(ISERROR(Y61),0,Y61)</f>
        <v>745</v>
      </c>
      <c r="Z92" s="100">
        <f t="shared" si="9"/>
        <v>672</v>
      </c>
      <c r="AA92" s="100">
        <f t="shared" si="9"/>
        <v>703</v>
      </c>
      <c r="AB92" s="100">
        <f t="shared" si="9"/>
        <v>684</v>
      </c>
      <c r="AC92" s="100">
        <f t="shared" si="9"/>
        <v>629</v>
      </c>
      <c r="AD92" s="100">
        <f t="shared" si="9"/>
        <v>619</v>
      </c>
      <c r="AE92" s="100">
        <f t="shared" si="9"/>
        <v>590</v>
      </c>
      <c r="AF92" s="100">
        <f t="shared" si="9"/>
        <v>649</v>
      </c>
      <c r="AG92" s="100">
        <f t="shared" si="9"/>
        <v>604</v>
      </c>
      <c r="AH92" s="100">
        <f t="shared" si="9"/>
        <v>586</v>
      </c>
      <c r="AI92" s="100">
        <f t="shared" si="9"/>
        <v>640</v>
      </c>
    </row>
    <row r="93" spans="2:35" ht="12.75">
      <c r="B93" s="101" t="s">
        <v>26</v>
      </c>
      <c r="C93" s="100">
        <f t="shared" si="3"/>
        <v>303</v>
      </c>
      <c r="D93" s="100">
        <f t="shared" si="5"/>
        <v>338</v>
      </c>
      <c r="E93" s="100">
        <f t="shared" si="5"/>
        <v>324</v>
      </c>
      <c r="F93" s="100">
        <f t="shared" si="5"/>
        <v>322</v>
      </c>
      <c r="G93" s="100">
        <f t="shared" si="5"/>
        <v>336</v>
      </c>
      <c r="H93" s="100">
        <f t="shared" si="5"/>
        <v>343</v>
      </c>
      <c r="I93" s="100">
        <f t="shared" si="5"/>
        <v>335</v>
      </c>
      <c r="J93" s="100">
        <f t="shared" si="5"/>
        <v>329</v>
      </c>
      <c r="K93" s="100">
        <f t="shared" si="5"/>
        <v>314</v>
      </c>
      <c r="L93" s="100">
        <f t="shared" si="5"/>
        <v>305</v>
      </c>
      <c r="M93" s="100">
        <f t="shared" si="5"/>
        <v>338</v>
      </c>
      <c r="N93" s="100">
        <f t="shared" si="5"/>
        <v>324</v>
      </c>
      <c r="O93" s="100">
        <f t="shared" si="5"/>
        <v>325</v>
      </c>
      <c r="P93" s="100">
        <f t="shared" si="5"/>
        <v>325</v>
      </c>
      <c r="Q93" s="100">
        <f t="shared" si="5"/>
        <v>299</v>
      </c>
      <c r="R93" s="100">
        <f t="shared" si="5"/>
        <v>299</v>
      </c>
      <c r="S93" s="100">
        <f t="shared" si="5"/>
        <v>313</v>
      </c>
      <c r="T93" s="100">
        <f t="shared" si="5"/>
        <v>310</v>
      </c>
      <c r="U93" s="100">
        <f t="shared" si="5"/>
        <v>313</v>
      </c>
      <c r="V93" s="100">
        <f t="shared" si="5"/>
        <v>316</v>
      </c>
      <c r="W93" s="100">
        <f t="shared" si="5"/>
        <v>331</v>
      </c>
      <c r="X93" s="100">
        <f t="shared" si="5"/>
        <v>283</v>
      </c>
      <c r="Y93" s="100">
        <f aca="true" t="shared" si="10" ref="Y93:AI93">IF(ISERROR(Y62),0,Y62)</f>
        <v>320</v>
      </c>
      <c r="Z93" s="100">
        <f t="shared" si="10"/>
        <v>270</v>
      </c>
      <c r="AA93" s="100">
        <f t="shared" si="10"/>
        <v>295</v>
      </c>
      <c r="AB93" s="100">
        <f t="shared" si="10"/>
        <v>316</v>
      </c>
      <c r="AC93" s="100">
        <f t="shared" si="10"/>
        <v>282</v>
      </c>
      <c r="AD93" s="100">
        <f t="shared" si="10"/>
        <v>290</v>
      </c>
      <c r="AE93" s="100">
        <f t="shared" si="10"/>
        <v>269</v>
      </c>
      <c r="AF93" s="100">
        <f t="shared" si="10"/>
        <v>309</v>
      </c>
      <c r="AG93" s="100">
        <f t="shared" si="10"/>
        <v>275</v>
      </c>
      <c r="AH93" s="100">
        <f t="shared" si="10"/>
        <v>277</v>
      </c>
      <c r="AI93" s="100">
        <f t="shared" si="10"/>
        <v>291</v>
      </c>
    </row>
    <row r="94" spans="2:35" ht="12.75">
      <c r="B94" s="101" t="s">
        <v>108</v>
      </c>
      <c r="C94" s="100">
        <f>IF(ISERROR(C63),0,C63)</f>
        <v>0</v>
      </c>
      <c r="D94" s="100">
        <f t="shared" si="5"/>
        <v>0</v>
      </c>
      <c r="E94" s="100">
        <f t="shared" si="5"/>
        <v>0</v>
      </c>
      <c r="F94" s="100">
        <f t="shared" si="5"/>
        <v>0</v>
      </c>
      <c r="G94" s="100">
        <f t="shared" si="5"/>
        <v>0</v>
      </c>
      <c r="H94" s="100">
        <f t="shared" si="5"/>
        <v>0</v>
      </c>
      <c r="I94" s="100">
        <f t="shared" si="5"/>
        <v>0</v>
      </c>
      <c r="J94" s="100">
        <f t="shared" si="5"/>
        <v>0</v>
      </c>
      <c r="K94" s="100">
        <f t="shared" si="5"/>
        <v>0</v>
      </c>
      <c r="L94" s="100">
        <f t="shared" si="5"/>
        <v>0</v>
      </c>
      <c r="M94" s="100">
        <f t="shared" si="5"/>
        <v>0</v>
      </c>
      <c r="N94" s="100">
        <f t="shared" si="5"/>
        <v>0</v>
      </c>
      <c r="O94" s="100">
        <f t="shared" si="5"/>
        <v>0</v>
      </c>
      <c r="P94" s="100">
        <f t="shared" si="5"/>
        <v>0</v>
      </c>
      <c r="Q94" s="100">
        <f t="shared" si="5"/>
        <v>0</v>
      </c>
      <c r="R94" s="100">
        <f t="shared" si="5"/>
        <v>0</v>
      </c>
      <c r="S94" s="100">
        <f t="shared" si="5"/>
        <v>0</v>
      </c>
      <c r="T94" s="100">
        <f t="shared" si="5"/>
        <v>0</v>
      </c>
      <c r="U94" s="100">
        <f t="shared" si="5"/>
        <v>0</v>
      </c>
      <c r="V94" s="100">
        <f t="shared" si="5"/>
        <v>0</v>
      </c>
      <c r="W94" s="100">
        <f t="shared" si="5"/>
        <v>0</v>
      </c>
      <c r="X94" s="100">
        <f t="shared" si="5"/>
        <v>0</v>
      </c>
      <c r="Y94" s="100">
        <f aca="true" t="shared" si="11" ref="Y94:AI94">IF(ISERROR(Y63),0,Y63)</f>
        <v>0</v>
      </c>
      <c r="Z94" s="100">
        <f t="shared" si="11"/>
        <v>0</v>
      </c>
      <c r="AA94" s="100">
        <f t="shared" si="11"/>
        <v>0</v>
      </c>
      <c r="AB94" s="100">
        <f t="shared" si="11"/>
        <v>0</v>
      </c>
      <c r="AC94" s="100">
        <f t="shared" si="11"/>
        <v>0</v>
      </c>
      <c r="AD94" s="100">
        <f t="shared" si="11"/>
        <v>0</v>
      </c>
      <c r="AE94" s="100">
        <f t="shared" si="11"/>
        <v>0</v>
      </c>
      <c r="AF94" s="100">
        <f t="shared" si="11"/>
        <v>0</v>
      </c>
      <c r="AG94" s="100">
        <f t="shared" si="11"/>
        <v>0</v>
      </c>
      <c r="AH94" s="100">
        <f t="shared" si="11"/>
        <v>0</v>
      </c>
      <c r="AI94" s="100">
        <f t="shared" si="11"/>
        <v>2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5" ht="13.5" thickBot="1">
      <c r="B96" s="54" t="s">
        <v>0</v>
      </c>
      <c r="C96" s="55">
        <v>38108</v>
      </c>
      <c r="D96" s="55">
        <v>38139</v>
      </c>
      <c r="E96" s="55">
        <v>38169</v>
      </c>
      <c r="F96" s="55">
        <v>38200</v>
      </c>
      <c r="G96" s="55">
        <v>38231</v>
      </c>
      <c r="H96" s="55">
        <v>38261</v>
      </c>
      <c r="I96" s="55">
        <v>38292</v>
      </c>
      <c r="J96" s="55">
        <v>38322</v>
      </c>
      <c r="K96" s="55">
        <v>38353</v>
      </c>
      <c r="L96" s="55">
        <v>38384</v>
      </c>
      <c r="M96" s="55">
        <v>38412</v>
      </c>
      <c r="N96" s="55">
        <v>38443</v>
      </c>
      <c r="O96" s="55">
        <v>38473</v>
      </c>
      <c r="P96" s="55">
        <v>38504</v>
      </c>
      <c r="Q96" s="55">
        <v>38534</v>
      </c>
      <c r="R96" s="55">
        <v>38565</v>
      </c>
      <c r="S96" s="55">
        <v>38596</v>
      </c>
      <c r="T96" s="55">
        <v>38626</v>
      </c>
      <c r="U96" s="55">
        <v>38657</v>
      </c>
      <c r="V96" s="55">
        <v>38687</v>
      </c>
      <c r="W96" s="55">
        <v>38718</v>
      </c>
      <c r="X96" s="55">
        <v>38749</v>
      </c>
      <c r="Y96" s="55">
        <v>38777</v>
      </c>
      <c r="Z96" s="55">
        <v>38808</v>
      </c>
      <c r="AA96" s="55">
        <v>38838</v>
      </c>
      <c r="AB96" s="55">
        <v>38869</v>
      </c>
      <c r="AC96" s="55">
        <v>38899</v>
      </c>
      <c r="AD96" s="55">
        <v>38930</v>
      </c>
      <c r="AE96" s="55">
        <v>38961</v>
      </c>
      <c r="AF96" s="55">
        <v>38991</v>
      </c>
      <c r="AG96" s="55">
        <v>39022</v>
      </c>
      <c r="AH96" s="55">
        <v>39052</v>
      </c>
      <c r="AI96" s="55">
        <v>39083</v>
      </c>
    </row>
    <row r="97" spans="2:36" ht="13.5" thickTop="1">
      <c r="B97" s="30" t="s">
        <v>27</v>
      </c>
      <c r="C97" s="32">
        <f>SUM(C66:C68)</f>
        <v>1311</v>
      </c>
      <c r="D97" s="32">
        <f aca="true" t="shared" si="12" ref="D97:AI97">SUM(D66:D68)</f>
        <v>1571</v>
      </c>
      <c r="E97" s="32">
        <f t="shared" si="12"/>
        <v>1429</v>
      </c>
      <c r="F97" s="32">
        <f t="shared" si="12"/>
        <v>1460</v>
      </c>
      <c r="G97" s="32">
        <f t="shared" si="12"/>
        <v>1423</v>
      </c>
      <c r="H97" s="32">
        <f t="shared" si="12"/>
        <v>1456</v>
      </c>
      <c r="I97" s="32">
        <f t="shared" si="12"/>
        <v>1500</v>
      </c>
      <c r="J97" s="32">
        <f t="shared" si="12"/>
        <v>1520</v>
      </c>
      <c r="K97" s="32">
        <f t="shared" si="12"/>
        <v>1492</v>
      </c>
      <c r="L97" s="32">
        <f t="shared" si="12"/>
        <v>1391</v>
      </c>
      <c r="M97" s="32">
        <f t="shared" si="12"/>
        <v>1572</v>
      </c>
      <c r="N97" s="32">
        <f t="shared" si="12"/>
        <v>1513</v>
      </c>
      <c r="O97" s="32">
        <f t="shared" si="12"/>
        <v>1620</v>
      </c>
      <c r="P97" s="32">
        <f t="shared" si="12"/>
        <v>1564</v>
      </c>
      <c r="Q97" s="32">
        <f t="shared" si="12"/>
        <v>1551</v>
      </c>
      <c r="R97" s="32">
        <f t="shared" si="12"/>
        <v>1684</v>
      </c>
      <c r="S97" s="32">
        <f t="shared" si="12"/>
        <v>1695</v>
      </c>
      <c r="T97" s="32">
        <f t="shared" si="12"/>
        <v>1763</v>
      </c>
      <c r="U97" s="32">
        <f t="shared" si="12"/>
        <v>1788</v>
      </c>
      <c r="V97" s="32">
        <f t="shared" si="12"/>
        <v>1867</v>
      </c>
      <c r="W97" s="32">
        <f t="shared" si="12"/>
        <v>1825</v>
      </c>
      <c r="X97" s="32">
        <f t="shared" si="12"/>
        <v>1751</v>
      </c>
      <c r="Y97" s="32">
        <f t="shared" si="12"/>
        <v>1928</v>
      </c>
      <c r="Z97" s="32">
        <f t="shared" si="12"/>
        <v>1776</v>
      </c>
      <c r="AA97" s="32">
        <f t="shared" si="12"/>
        <v>1940</v>
      </c>
      <c r="AB97" s="32">
        <f t="shared" si="12"/>
        <v>1900</v>
      </c>
      <c r="AC97" s="32">
        <f t="shared" si="12"/>
        <v>1846</v>
      </c>
      <c r="AD97" s="32">
        <f t="shared" si="12"/>
        <v>1875</v>
      </c>
      <c r="AE97" s="32">
        <f t="shared" si="12"/>
        <v>1893</v>
      </c>
      <c r="AF97" s="32">
        <f t="shared" si="12"/>
        <v>2033</v>
      </c>
      <c r="AG97" s="32">
        <f t="shared" si="12"/>
        <v>1956</v>
      </c>
      <c r="AH97" s="32">
        <f t="shared" si="12"/>
        <v>1913</v>
      </c>
      <c r="AI97" s="32">
        <f t="shared" si="12"/>
        <v>2107</v>
      </c>
      <c r="AJ97" s="58">
        <f>AI97-AH97</f>
        <v>194</v>
      </c>
    </row>
    <row r="98" spans="2:36" ht="12.75">
      <c r="B98" s="22" t="s">
        <v>28</v>
      </c>
      <c r="C98" s="23">
        <f>SUM(C69:C71)</f>
        <v>2792</v>
      </c>
      <c r="D98" s="23">
        <f aca="true" t="shared" si="13" ref="D98:AI98">SUM(D69:D71)</f>
        <v>3194</v>
      </c>
      <c r="E98" s="23">
        <f t="shared" si="13"/>
        <v>3063</v>
      </c>
      <c r="F98" s="23">
        <f t="shared" si="13"/>
        <v>3032</v>
      </c>
      <c r="G98" s="23">
        <f t="shared" si="13"/>
        <v>3108</v>
      </c>
      <c r="H98" s="23">
        <f t="shared" si="13"/>
        <v>3208</v>
      </c>
      <c r="I98" s="23">
        <f t="shared" si="13"/>
        <v>3233</v>
      </c>
      <c r="J98" s="23">
        <f t="shared" si="13"/>
        <v>3285</v>
      </c>
      <c r="K98" s="23">
        <f t="shared" si="13"/>
        <v>3354</v>
      </c>
      <c r="L98" s="23">
        <f t="shared" si="13"/>
        <v>3125</v>
      </c>
      <c r="M98" s="23">
        <f t="shared" si="13"/>
        <v>3529</v>
      </c>
      <c r="N98" s="23">
        <f t="shared" si="13"/>
        <v>3487</v>
      </c>
      <c r="O98" s="23">
        <f t="shared" si="13"/>
        <v>3502</v>
      </c>
      <c r="P98" s="23">
        <f t="shared" si="13"/>
        <v>3387</v>
      </c>
      <c r="Q98" s="23">
        <f t="shared" si="13"/>
        <v>3268</v>
      </c>
      <c r="R98" s="23">
        <f t="shared" si="13"/>
        <v>3366</v>
      </c>
      <c r="S98" s="23">
        <f t="shared" si="13"/>
        <v>3360</v>
      </c>
      <c r="T98" s="23">
        <f t="shared" si="13"/>
        <v>3285</v>
      </c>
      <c r="U98" s="23">
        <f t="shared" si="13"/>
        <v>3327</v>
      </c>
      <c r="V98" s="23">
        <f t="shared" si="13"/>
        <v>3409</v>
      </c>
      <c r="W98" s="23">
        <f t="shared" si="13"/>
        <v>3371</v>
      </c>
      <c r="X98" s="23">
        <f t="shared" si="13"/>
        <v>3245</v>
      </c>
      <c r="Y98" s="23">
        <f t="shared" si="13"/>
        <v>3400</v>
      </c>
      <c r="Z98" s="23">
        <f t="shared" si="13"/>
        <v>3148</v>
      </c>
      <c r="AA98" s="23">
        <f t="shared" si="13"/>
        <v>3265</v>
      </c>
      <c r="AB98" s="23">
        <f t="shared" si="13"/>
        <v>3331</v>
      </c>
      <c r="AC98" s="23">
        <f t="shared" si="13"/>
        <v>3152</v>
      </c>
      <c r="AD98" s="23">
        <f t="shared" si="13"/>
        <v>3312</v>
      </c>
      <c r="AE98" s="23">
        <f t="shared" si="13"/>
        <v>3183</v>
      </c>
      <c r="AF98" s="23">
        <f t="shared" si="13"/>
        <v>3372</v>
      </c>
      <c r="AG98" s="23">
        <f t="shared" si="13"/>
        <v>3253</v>
      </c>
      <c r="AH98" s="23">
        <f t="shared" si="13"/>
        <v>3137</v>
      </c>
      <c r="AI98" s="23">
        <f t="shared" si="13"/>
        <v>3430</v>
      </c>
      <c r="AJ98" s="58">
        <f aca="true" t="shared" si="14" ref="AJ98:AJ110">AI98-AH98</f>
        <v>293</v>
      </c>
    </row>
    <row r="99" spans="2:36" ht="12.75">
      <c r="B99" s="22" t="s">
        <v>54</v>
      </c>
      <c r="C99" s="23">
        <f>C72</f>
        <v>0</v>
      </c>
      <c r="D99" s="23">
        <f aca="true" t="shared" si="15" ref="D99:AI99">D72</f>
        <v>0</v>
      </c>
      <c r="E99" s="23">
        <f t="shared" si="15"/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  <c r="T99" s="23">
        <f t="shared" si="15"/>
        <v>0</v>
      </c>
      <c r="U99" s="23">
        <f t="shared" si="15"/>
        <v>0</v>
      </c>
      <c r="V99" s="23">
        <f t="shared" si="15"/>
        <v>0</v>
      </c>
      <c r="W99" s="23">
        <f t="shared" si="15"/>
        <v>0</v>
      </c>
      <c r="X99" s="23">
        <f t="shared" si="15"/>
        <v>0</v>
      </c>
      <c r="Y99" s="23">
        <f t="shared" si="15"/>
        <v>0</v>
      </c>
      <c r="Z99" s="23">
        <f t="shared" si="15"/>
        <v>0</v>
      </c>
      <c r="AA99" s="23">
        <f t="shared" si="15"/>
        <v>0</v>
      </c>
      <c r="AB99" s="23">
        <f t="shared" si="15"/>
        <v>10</v>
      </c>
      <c r="AC99" s="23">
        <f t="shared" si="15"/>
        <v>16</v>
      </c>
      <c r="AD99" s="23">
        <f t="shared" si="15"/>
        <v>19</v>
      </c>
      <c r="AE99" s="23">
        <f t="shared" si="15"/>
        <v>34</v>
      </c>
      <c r="AF99" s="23">
        <f t="shared" si="15"/>
        <v>59</v>
      </c>
      <c r="AG99" s="23">
        <f t="shared" si="15"/>
        <v>78</v>
      </c>
      <c r="AH99" s="23">
        <f t="shared" si="15"/>
        <v>95</v>
      </c>
      <c r="AI99" s="23">
        <f t="shared" si="15"/>
        <v>112</v>
      </c>
      <c r="AJ99" s="58">
        <f t="shared" si="14"/>
        <v>17</v>
      </c>
    </row>
    <row r="100" spans="2:36" ht="12.75">
      <c r="B100" s="22" t="s">
        <v>29</v>
      </c>
      <c r="C100" s="23">
        <f>SUM(C73:C75)</f>
        <v>626</v>
      </c>
      <c r="D100" s="23">
        <f aca="true" t="shared" si="16" ref="D100:AI100">SUM(D73:D75)</f>
        <v>712</v>
      </c>
      <c r="E100" s="23">
        <f t="shared" si="16"/>
        <v>646</v>
      </c>
      <c r="F100" s="23">
        <f t="shared" si="16"/>
        <v>657</v>
      </c>
      <c r="G100" s="23">
        <f t="shared" si="16"/>
        <v>685</v>
      </c>
      <c r="H100" s="23">
        <f t="shared" si="16"/>
        <v>700</v>
      </c>
      <c r="I100" s="23">
        <f t="shared" si="16"/>
        <v>726</v>
      </c>
      <c r="J100" s="23">
        <f t="shared" si="16"/>
        <v>769</v>
      </c>
      <c r="K100" s="23">
        <f t="shared" si="16"/>
        <v>737</v>
      </c>
      <c r="L100" s="23">
        <f t="shared" si="16"/>
        <v>706</v>
      </c>
      <c r="M100" s="23">
        <f t="shared" si="16"/>
        <v>802</v>
      </c>
      <c r="N100" s="23">
        <f t="shared" si="16"/>
        <v>749</v>
      </c>
      <c r="O100" s="23">
        <f t="shared" si="16"/>
        <v>831</v>
      </c>
      <c r="P100" s="23">
        <f t="shared" si="16"/>
        <v>763</v>
      </c>
      <c r="Q100" s="23">
        <f t="shared" si="16"/>
        <v>723</v>
      </c>
      <c r="R100" s="23">
        <f t="shared" si="16"/>
        <v>749</v>
      </c>
      <c r="S100" s="23">
        <f t="shared" si="16"/>
        <v>742</v>
      </c>
      <c r="T100" s="23">
        <f t="shared" si="16"/>
        <v>732</v>
      </c>
      <c r="U100" s="23">
        <f t="shared" si="16"/>
        <v>755</v>
      </c>
      <c r="V100" s="23">
        <f t="shared" si="16"/>
        <v>739</v>
      </c>
      <c r="W100" s="23">
        <f t="shared" si="16"/>
        <v>750</v>
      </c>
      <c r="X100" s="23">
        <f t="shared" si="16"/>
        <v>734</v>
      </c>
      <c r="Y100" s="23">
        <f t="shared" si="16"/>
        <v>745</v>
      </c>
      <c r="Z100" s="23">
        <f t="shared" si="16"/>
        <v>683</v>
      </c>
      <c r="AA100" s="23">
        <f t="shared" si="16"/>
        <v>730</v>
      </c>
      <c r="AB100" s="23">
        <f t="shared" si="16"/>
        <v>720</v>
      </c>
      <c r="AC100" s="23">
        <f t="shared" si="16"/>
        <v>672</v>
      </c>
      <c r="AD100" s="23">
        <f t="shared" si="16"/>
        <v>692</v>
      </c>
      <c r="AE100" s="23">
        <f t="shared" si="16"/>
        <v>665</v>
      </c>
      <c r="AF100" s="23">
        <f t="shared" si="16"/>
        <v>725</v>
      </c>
      <c r="AG100" s="23">
        <f t="shared" si="16"/>
        <v>666</v>
      </c>
      <c r="AH100" s="23">
        <f t="shared" si="16"/>
        <v>648</v>
      </c>
      <c r="AI100" s="23">
        <f t="shared" si="16"/>
        <v>677</v>
      </c>
      <c r="AJ100" s="58">
        <f t="shared" si="14"/>
        <v>29</v>
      </c>
    </row>
    <row r="101" spans="2:36" ht="12.75">
      <c r="B101" s="22" t="s">
        <v>30</v>
      </c>
      <c r="C101" s="23">
        <f>SUM(C76:C79)</f>
        <v>1989</v>
      </c>
      <c r="D101" s="23">
        <f aca="true" t="shared" si="17" ref="D101:AI101">SUM(D76:D79)</f>
        <v>2281</v>
      </c>
      <c r="E101" s="23">
        <f t="shared" si="17"/>
        <v>2135</v>
      </c>
      <c r="F101" s="23">
        <f t="shared" si="17"/>
        <v>2135</v>
      </c>
      <c r="G101" s="23">
        <f t="shared" si="17"/>
        <v>2194</v>
      </c>
      <c r="H101" s="23">
        <f t="shared" si="17"/>
        <v>2226</v>
      </c>
      <c r="I101" s="23">
        <f t="shared" si="17"/>
        <v>2333</v>
      </c>
      <c r="J101" s="23">
        <f t="shared" si="17"/>
        <v>2380</v>
      </c>
      <c r="K101" s="23">
        <f t="shared" si="17"/>
        <v>2361</v>
      </c>
      <c r="L101" s="23">
        <f t="shared" si="17"/>
        <v>2248</v>
      </c>
      <c r="M101" s="23">
        <f t="shared" si="17"/>
        <v>2538</v>
      </c>
      <c r="N101" s="23">
        <f t="shared" si="17"/>
        <v>2417</v>
      </c>
      <c r="O101" s="23">
        <f t="shared" si="17"/>
        <v>2542</v>
      </c>
      <c r="P101" s="23">
        <f t="shared" si="17"/>
        <v>2496</v>
      </c>
      <c r="Q101" s="23">
        <f t="shared" si="17"/>
        <v>2390</v>
      </c>
      <c r="R101" s="23">
        <f t="shared" si="17"/>
        <v>2436</v>
      </c>
      <c r="S101" s="23">
        <f t="shared" si="17"/>
        <v>2479</v>
      </c>
      <c r="T101" s="23">
        <f t="shared" si="17"/>
        <v>2417</v>
      </c>
      <c r="U101" s="23">
        <f t="shared" si="17"/>
        <v>2488</v>
      </c>
      <c r="V101" s="23">
        <f t="shared" si="17"/>
        <v>2514</v>
      </c>
      <c r="W101" s="23">
        <f t="shared" si="17"/>
        <v>2444</v>
      </c>
      <c r="X101" s="23">
        <f t="shared" si="17"/>
        <v>2408</v>
      </c>
      <c r="Y101" s="23">
        <f t="shared" si="17"/>
        <v>2528</v>
      </c>
      <c r="Z101" s="23">
        <f t="shared" si="17"/>
        <v>2293</v>
      </c>
      <c r="AA101" s="23">
        <f t="shared" si="17"/>
        <v>2516</v>
      </c>
      <c r="AB101" s="23">
        <f t="shared" si="17"/>
        <v>2487</v>
      </c>
      <c r="AC101" s="23">
        <f t="shared" si="17"/>
        <v>2367</v>
      </c>
      <c r="AD101" s="23">
        <f t="shared" si="17"/>
        <v>2451</v>
      </c>
      <c r="AE101" s="23">
        <f t="shared" si="17"/>
        <v>2367</v>
      </c>
      <c r="AF101" s="23">
        <f t="shared" si="17"/>
        <v>2478</v>
      </c>
      <c r="AG101" s="23">
        <f t="shared" si="17"/>
        <v>2422</v>
      </c>
      <c r="AH101" s="23">
        <f t="shared" si="17"/>
        <v>2350</v>
      </c>
      <c r="AI101" s="23">
        <f t="shared" si="17"/>
        <v>2507</v>
      </c>
      <c r="AJ101" s="58">
        <f t="shared" si="14"/>
        <v>157</v>
      </c>
    </row>
    <row r="102" spans="2:36" ht="12.75">
      <c r="B102" s="22" t="s">
        <v>31</v>
      </c>
      <c r="C102" s="23">
        <f>SUM(C80:C82)</f>
        <v>207</v>
      </c>
      <c r="D102" s="23">
        <f aca="true" t="shared" si="18" ref="D102:AI102">SUM(D80:D82)</f>
        <v>304</v>
      </c>
      <c r="E102" s="23">
        <f t="shared" si="18"/>
        <v>319</v>
      </c>
      <c r="F102" s="23">
        <f t="shared" si="18"/>
        <v>346</v>
      </c>
      <c r="G102" s="23">
        <f t="shared" si="18"/>
        <v>378</v>
      </c>
      <c r="H102" s="23">
        <f t="shared" si="18"/>
        <v>344</v>
      </c>
      <c r="I102" s="23">
        <f t="shared" si="18"/>
        <v>327</v>
      </c>
      <c r="J102" s="23">
        <f t="shared" si="18"/>
        <v>342</v>
      </c>
      <c r="K102" s="23">
        <f t="shared" si="18"/>
        <v>330</v>
      </c>
      <c r="L102" s="23">
        <f t="shared" si="18"/>
        <v>354</v>
      </c>
      <c r="M102" s="23">
        <f t="shared" si="18"/>
        <v>401</v>
      </c>
      <c r="N102" s="23">
        <f t="shared" si="18"/>
        <v>395</v>
      </c>
      <c r="O102" s="23">
        <f t="shared" si="18"/>
        <v>440</v>
      </c>
      <c r="P102" s="23">
        <f t="shared" si="18"/>
        <v>464</v>
      </c>
      <c r="Q102" s="23">
        <f t="shared" si="18"/>
        <v>462</v>
      </c>
      <c r="R102" s="23">
        <f t="shared" si="18"/>
        <v>467</v>
      </c>
      <c r="S102" s="23">
        <f t="shared" si="18"/>
        <v>482</v>
      </c>
      <c r="T102" s="23">
        <f t="shared" si="18"/>
        <v>471</v>
      </c>
      <c r="U102" s="23">
        <f t="shared" si="18"/>
        <v>499</v>
      </c>
      <c r="V102" s="23">
        <f t="shared" si="18"/>
        <v>534</v>
      </c>
      <c r="W102" s="23">
        <f t="shared" si="18"/>
        <v>532</v>
      </c>
      <c r="X102" s="23">
        <f t="shared" si="18"/>
        <v>608</v>
      </c>
      <c r="Y102" s="23">
        <f t="shared" si="18"/>
        <v>755</v>
      </c>
      <c r="Z102" s="23">
        <f t="shared" si="18"/>
        <v>754</v>
      </c>
      <c r="AA102" s="23">
        <f t="shared" si="18"/>
        <v>913</v>
      </c>
      <c r="AB102" s="23">
        <f t="shared" si="18"/>
        <v>1033</v>
      </c>
      <c r="AC102" s="23">
        <f t="shared" si="18"/>
        <v>1000</v>
      </c>
      <c r="AD102" s="23">
        <f t="shared" si="18"/>
        <v>1105</v>
      </c>
      <c r="AE102" s="23">
        <f t="shared" si="18"/>
        <v>1086</v>
      </c>
      <c r="AF102" s="23">
        <f t="shared" si="18"/>
        <v>1200</v>
      </c>
      <c r="AG102" s="23">
        <f t="shared" si="18"/>
        <v>1217</v>
      </c>
      <c r="AH102" s="23">
        <f t="shared" si="18"/>
        <v>1205</v>
      </c>
      <c r="AI102" s="23">
        <f t="shared" si="18"/>
        <v>1355</v>
      </c>
      <c r="AJ102" s="58">
        <f t="shared" si="14"/>
        <v>150</v>
      </c>
    </row>
    <row r="103" spans="2:36" ht="12.75">
      <c r="B103" s="22" t="s">
        <v>32</v>
      </c>
      <c r="C103" s="23">
        <f>C83</f>
        <v>0</v>
      </c>
      <c r="D103" s="23">
        <f aca="true" t="shared" si="19" ref="D103:AI103">D83</f>
        <v>0</v>
      </c>
      <c r="E103" s="23">
        <f t="shared" si="19"/>
        <v>0</v>
      </c>
      <c r="F103" s="23">
        <f t="shared" si="19"/>
        <v>0</v>
      </c>
      <c r="G103" s="23">
        <f t="shared" si="19"/>
        <v>0</v>
      </c>
      <c r="H103" s="23">
        <f t="shared" si="19"/>
        <v>0</v>
      </c>
      <c r="I103" s="23">
        <f t="shared" si="19"/>
        <v>0</v>
      </c>
      <c r="J103" s="23">
        <f t="shared" si="19"/>
        <v>0</v>
      </c>
      <c r="K103" s="23">
        <f t="shared" si="19"/>
        <v>23</v>
      </c>
      <c r="L103" s="23">
        <f t="shared" si="19"/>
        <v>62</v>
      </c>
      <c r="M103" s="23">
        <f t="shared" si="19"/>
        <v>131</v>
      </c>
      <c r="N103" s="23">
        <f t="shared" si="19"/>
        <v>159</v>
      </c>
      <c r="O103" s="23">
        <f t="shared" si="19"/>
        <v>221</v>
      </c>
      <c r="P103" s="23">
        <f t="shared" si="19"/>
        <v>226</v>
      </c>
      <c r="Q103" s="23">
        <f t="shared" si="19"/>
        <v>246</v>
      </c>
      <c r="R103" s="23">
        <f t="shared" si="19"/>
        <v>249</v>
      </c>
      <c r="S103" s="23">
        <f t="shared" si="19"/>
        <v>264</v>
      </c>
      <c r="T103" s="23">
        <f t="shared" si="19"/>
        <v>294</v>
      </c>
      <c r="U103" s="23">
        <f t="shared" si="19"/>
        <v>306</v>
      </c>
      <c r="V103" s="23">
        <f t="shared" si="19"/>
        <v>325</v>
      </c>
      <c r="W103" s="23">
        <f t="shared" si="19"/>
        <v>339</v>
      </c>
      <c r="X103" s="23">
        <f t="shared" si="19"/>
        <v>350</v>
      </c>
      <c r="Y103" s="23">
        <f t="shared" si="19"/>
        <v>378</v>
      </c>
      <c r="Z103" s="23">
        <f t="shared" si="19"/>
        <v>364</v>
      </c>
      <c r="AA103" s="23">
        <f t="shared" si="19"/>
        <v>393</v>
      </c>
      <c r="AB103" s="23">
        <f t="shared" si="19"/>
        <v>410</v>
      </c>
      <c r="AC103" s="23">
        <f t="shared" si="19"/>
        <v>393</v>
      </c>
      <c r="AD103" s="23">
        <f t="shared" si="19"/>
        <v>410</v>
      </c>
      <c r="AE103" s="23">
        <f t="shared" si="19"/>
        <v>382</v>
      </c>
      <c r="AF103" s="23">
        <f t="shared" si="19"/>
        <v>398</v>
      </c>
      <c r="AG103" s="23">
        <f t="shared" si="19"/>
        <v>399</v>
      </c>
      <c r="AH103" s="23">
        <f t="shared" si="19"/>
        <v>384</v>
      </c>
      <c r="AI103" s="23">
        <f t="shared" si="19"/>
        <v>431</v>
      </c>
      <c r="AJ103" s="58">
        <f t="shared" si="14"/>
        <v>47</v>
      </c>
    </row>
    <row r="104" spans="2:36" ht="12.75">
      <c r="B104" s="22" t="s">
        <v>33</v>
      </c>
      <c r="C104" s="23">
        <f>SUM(C84:C85)</f>
        <v>0</v>
      </c>
      <c r="D104" s="23">
        <f aca="true" t="shared" si="20" ref="D104:AI104">SUM(D84:D85)</f>
        <v>0</v>
      </c>
      <c r="E104" s="23">
        <f t="shared" si="20"/>
        <v>0</v>
      </c>
      <c r="F104" s="23">
        <f t="shared" si="20"/>
        <v>0</v>
      </c>
      <c r="G104" s="23">
        <f t="shared" si="20"/>
        <v>0</v>
      </c>
      <c r="H104" s="23">
        <f t="shared" si="20"/>
        <v>0</v>
      </c>
      <c r="I104" s="23">
        <f t="shared" si="20"/>
        <v>0</v>
      </c>
      <c r="J104" s="23">
        <f t="shared" si="20"/>
        <v>0</v>
      </c>
      <c r="K104" s="23">
        <f t="shared" si="20"/>
        <v>0</v>
      </c>
      <c r="L104" s="23">
        <f t="shared" si="20"/>
        <v>0</v>
      </c>
      <c r="M104" s="23">
        <f t="shared" si="20"/>
        <v>0</v>
      </c>
      <c r="N104" s="23">
        <f t="shared" si="20"/>
        <v>0</v>
      </c>
      <c r="O104" s="23">
        <f t="shared" si="20"/>
        <v>0</v>
      </c>
      <c r="P104" s="23">
        <f t="shared" si="20"/>
        <v>0</v>
      </c>
      <c r="Q104" s="23">
        <f t="shared" si="20"/>
        <v>0</v>
      </c>
      <c r="R104" s="23">
        <f t="shared" si="20"/>
        <v>0</v>
      </c>
      <c r="S104" s="23">
        <f t="shared" si="20"/>
        <v>0</v>
      </c>
      <c r="T104" s="23">
        <f t="shared" si="20"/>
        <v>0</v>
      </c>
      <c r="U104" s="23">
        <f t="shared" si="20"/>
        <v>0</v>
      </c>
      <c r="V104" s="23">
        <f t="shared" si="20"/>
        <v>0</v>
      </c>
      <c r="W104" s="23">
        <f t="shared" si="20"/>
        <v>8</v>
      </c>
      <c r="X104" s="23">
        <f t="shared" si="20"/>
        <v>37</v>
      </c>
      <c r="Y104" s="23">
        <f t="shared" si="20"/>
        <v>93</v>
      </c>
      <c r="Z104" s="23">
        <f t="shared" si="20"/>
        <v>111</v>
      </c>
      <c r="AA104" s="23">
        <f t="shared" si="20"/>
        <v>187</v>
      </c>
      <c r="AB104" s="23">
        <f t="shared" si="20"/>
        <v>198</v>
      </c>
      <c r="AC104" s="23">
        <f t="shared" si="20"/>
        <v>197</v>
      </c>
      <c r="AD104" s="23">
        <f t="shared" si="20"/>
        <v>224</v>
      </c>
      <c r="AE104" s="23">
        <f t="shared" si="20"/>
        <v>248</v>
      </c>
      <c r="AF104" s="23">
        <f t="shared" si="20"/>
        <v>248</v>
      </c>
      <c r="AG104" s="23">
        <f t="shared" si="20"/>
        <v>261</v>
      </c>
      <c r="AH104" s="23">
        <f t="shared" si="20"/>
        <v>283</v>
      </c>
      <c r="AI104" s="23">
        <f t="shared" si="20"/>
        <v>314</v>
      </c>
      <c r="AJ104" s="58">
        <f t="shared" si="14"/>
        <v>31</v>
      </c>
    </row>
    <row r="105" spans="2:36" ht="12.75">
      <c r="B105" s="22" t="s">
        <v>34</v>
      </c>
      <c r="C105" s="23">
        <f>C86</f>
        <v>39</v>
      </c>
      <c r="D105" s="23">
        <f aca="true" t="shared" si="21" ref="D105:AI105">D86</f>
        <v>27</v>
      </c>
      <c r="E105" s="23">
        <f t="shared" si="21"/>
        <v>30</v>
      </c>
      <c r="F105" s="23">
        <f t="shared" si="21"/>
        <v>30</v>
      </c>
      <c r="G105" s="23">
        <f t="shared" si="21"/>
        <v>28</v>
      </c>
      <c r="H105" s="23">
        <f t="shared" si="21"/>
        <v>27</v>
      </c>
      <c r="I105" s="23">
        <f t="shared" si="21"/>
        <v>24</v>
      </c>
      <c r="J105" s="23">
        <f t="shared" si="21"/>
        <v>29</v>
      </c>
      <c r="K105" s="23">
        <f t="shared" si="21"/>
        <v>24</v>
      </c>
      <c r="L105" s="23">
        <f t="shared" si="21"/>
        <v>25</v>
      </c>
      <c r="M105" s="23">
        <f t="shared" si="21"/>
        <v>30</v>
      </c>
      <c r="N105" s="23">
        <f t="shared" si="21"/>
        <v>29</v>
      </c>
      <c r="O105" s="23">
        <f t="shared" si="21"/>
        <v>27</v>
      </c>
      <c r="P105" s="23">
        <f t="shared" si="21"/>
        <v>27</v>
      </c>
      <c r="Q105" s="23">
        <f t="shared" si="21"/>
        <v>30</v>
      </c>
      <c r="R105" s="23">
        <f t="shared" si="21"/>
        <v>32</v>
      </c>
      <c r="S105" s="23">
        <f t="shared" si="21"/>
        <v>24</v>
      </c>
      <c r="T105" s="23">
        <f t="shared" si="21"/>
        <v>32</v>
      </c>
      <c r="U105" s="23">
        <f t="shared" si="21"/>
        <v>29</v>
      </c>
      <c r="V105" s="23">
        <f t="shared" si="21"/>
        <v>30</v>
      </c>
      <c r="W105" s="23">
        <f t="shared" si="21"/>
        <v>32</v>
      </c>
      <c r="X105" s="23">
        <f t="shared" si="21"/>
        <v>25</v>
      </c>
      <c r="Y105" s="23">
        <f t="shared" si="21"/>
        <v>34</v>
      </c>
      <c r="Z105" s="23">
        <f t="shared" si="21"/>
        <v>28</v>
      </c>
      <c r="AA105" s="23">
        <f t="shared" si="21"/>
        <v>27</v>
      </c>
      <c r="AB105" s="23">
        <f t="shared" si="21"/>
        <v>35</v>
      </c>
      <c r="AC105" s="23">
        <f t="shared" si="21"/>
        <v>28</v>
      </c>
      <c r="AD105" s="23">
        <f t="shared" si="21"/>
        <v>32</v>
      </c>
      <c r="AE105" s="23">
        <f t="shared" si="21"/>
        <v>28</v>
      </c>
      <c r="AF105" s="23">
        <f t="shared" si="21"/>
        <v>34</v>
      </c>
      <c r="AG105" s="23">
        <f t="shared" si="21"/>
        <v>36</v>
      </c>
      <c r="AH105" s="23">
        <f t="shared" si="21"/>
        <v>30</v>
      </c>
      <c r="AI105" s="23">
        <f t="shared" si="21"/>
        <v>35</v>
      </c>
      <c r="AJ105" s="58">
        <f t="shared" si="14"/>
        <v>5</v>
      </c>
    </row>
    <row r="106" spans="2:36" ht="12.75">
      <c r="B106" s="22" t="s">
        <v>35</v>
      </c>
      <c r="C106" s="23">
        <f>SUM(C87:C93)</f>
        <v>2444</v>
      </c>
      <c r="D106" s="23">
        <f aca="true" t="shared" si="22" ref="D106:AI106">SUM(D87:D93)</f>
        <v>2800</v>
      </c>
      <c r="E106" s="23">
        <f t="shared" si="22"/>
        <v>2743</v>
      </c>
      <c r="F106" s="23">
        <f t="shared" si="22"/>
        <v>2623</v>
      </c>
      <c r="G106" s="23">
        <f t="shared" si="22"/>
        <v>2683</v>
      </c>
      <c r="H106" s="23">
        <f t="shared" si="22"/>
        <v>2660</v>
      </c>
      <c r="I106" s="23">
        <f t="shared" si="22"/>
        <v>2792</v>
      </c>
      <c r="J106" s="23">
        <f t="shared" si="22"/>
        <v>2847</v>
      </c>
      <c r="K106" s="23">
        <f t="shared" si="22"/>
        <v>2776</v>
      </c>
      <c r="L106" s="23">
        <f t="shared" si="22"/>
        <v>2655</v>
      </c>
      <c r="M106" s="23">
        <f t="shared" si="22"/>
        <v>2891</v>
      </c>
      <c r="N106" s="23">
        <f t="shared" si="22"/>
        <v>2802</v>
      </c>
      <c r="O106" s="23">
        <f t="shared" si="22"/>
        <v>2871</v>
      </c>
      <c r="P106" s="23">
        <f t="shared" si="22"/>
        <v>2800</v>
      </c>
      <c r="Q106" s="23">
        <f t="shared" si="22"/>
        <v>2682</v>
      </c>
      <c r="R106" s="23">
        <f t="shared" si="22"/>
        <v>2768</v>
      </c>
      <c r="S106" s="23">
        <f t="shared" si="22"/>
        <v>2785</v>
      </c>
      <c r="T106" s="23">
        <f t="shared" si="22"/>
        <v>2759</v>
      </c>
      <c r="U106" s="23">
        <f t="shared" si="22"/>
        <v>2854</v>
      </c>
      <c r="V106" s="23">
        <f t="shared" si="22"/>
        <v>2863</v>
      </c>
      <c r="W106" s="23">
        <f t="shared" si="22"/>
        <v>2825</v>
      </c>
      <c r="X106" s="23">
        <f t="shared" si="22"/>
        <v>2693</v>
      </c>
      <c r="Y106" s="23">
        <f t="shared" si="22"/>
        <v>2939</v>
      </c>
      <c r="Z106" s="23">
        <f t="shared" si="22"/>
        <v>2610</v>
      </c>
      <c r="AA106" s="23">
        <f t="shared" si="22"/>
        <v>2807</v>
      </c>
      <c r="AB106" s="23">
        <f t="shared" si="22"/>
        <v>2901</v>
      </c>
      <c r="AC106" s="23">
        <f t="shared" si="22"/>
        <v>2739</v>
      </c>
      <c r="AD106" s="23">
        <f t="shared" si="22"/>
        <v>2818</v>
      </c>
      <c r="AE106" s="23">
        <f t="shared" si="22"/>
        <v>2672</v>
      </c>
      <c r="AF106" s="23">
        <f t="shared" si="22"/>
        <v>2938</v>
      </c>
      <c r="AG106" s="23">
        <f t="shared" si="22"/>
        <v>2759</v>
      </c>
      <c r="AH106" s="23">
        <f t="shared" si="22"/>
        <v>2720</v>
      </c>
      <c r="AI106" s="23">
        <f t="shared" si="22"/>
        <v>2930</v>
      </c>
      <c r="AJ106" s="58">
        <f t="shared" si="14"/>
        <v>210</v>
      </c>
    </row>
    <row r="107" spans="2:36" ht="13.5" thickBot="1">
      <c r="B107" s="24" t="s">
        <v>109</v>
      </c>
      <c r="C107" s="25">
        <f>C94</f>
        <v>0</v>
      </c>
      <c r="D107" s="25">
        <f aca="true" t="shared" si="23" ref="D107:AI107">D94</f>
        <v>0</v>
      </c>
      <c r="E107" s="25">
        <f t="shared" si="23"/>
        <v>0</v>
      </c>
      <c r="F107" s="25">
        <f t="shared" si="23"/>
        <v>0</v>
      </c>
      <c r="G107" s="25">
        <f t="shared" si="23"/>
        <v>0</v>
      </c>
      <c r="H107" s="25">
        <f t="shared" si="23"/>
        <v>0</v>
      </c>
      <c r="I107" s="25">
        <f t="shared" si="23"/>
        <v>0</v>
      </c>
      <c r="J107" s="25">
        <f t="shared" si="23"/>
        <v>0</v>
      </c>
      <c r="K107" s="25">
        <f t="shared" si="23"/>
        <v>0</v>
      </c>
      <c r="L107" s="25">
        <f t="shared" si="23"/>
        <v>0</v>
      </c>
      <c r="M107" s="25">
        <f t="shared" si="23"/>
        <v>0</v>
      </c>
      <c r="N107" s="25">
        <f t="shared" si="23"/>
        <v>0</v>
      </c>
      <c r="O107" s="25">
        <f t="shared" si="23"/>
        <v>0</v>
      </c>
      <c r="P107" s="25">
        <f t="shared" si="23"/>
        <v>0</v>
      </c>
      <c r="Q107" s="25">
        <f t="shared" si="23"/>
        <v>0</v>
      </c>
      <c r="R107" s="25">
        <f t="shared" si="23"/>
        <v>0</v>
      </c>
      <c r="S107" s="25">
        <f t="shared" si="23"/>
        <v>0</v>
      </c>
      <c r="T107" s="25">
        <f t="shared" si="23"/>
        <v>0</v>
      </c>
      <c r="U107" s="25">
        <f t="shared" si="23"/>
        <v>0</v>
      </c>
      <c r="V107" s="25">
        <f t="shared" si="23"/>
        <v>0</v>
      </c>
      <c r="W107" s="25">
        <f t="shared" si="23"/>
        <v>0</v>
      </c>
      <c r="X107" s="25">
        <f t="shared" si="23"/>
        <v>0</v>
      </c>
      <c r="Y107" s="25">
        <f t="shared" si="23"/>
        <v>0</v>
      </c>
      <c r="Z107" s="25">
        <f t="shared" si="23"/>
        <v>0</v>
      </c>
      <c r="AA107" s="25">
        <f t="shared" si="23"/>
        <v>0</v>
      </c>
      <c r="AB107" s="25">
        <f t="shared" si="23"/>
        <v>0</v>
      </c>
      <c r="AC107" s="25">
        <f t="shared" si="23"/>
        <v>0</v>
      </c>
      <c r="AD107" s="25">
        <f t="shared" si="23"/>
        <v>0</v>
      </c>
      <c r="AE107" s="25">
        <f t="shared" si="23"/>
        <v>0</v>
      </c>
      <c r="AF107" s="25">
        <f t="shared" si="23"/>
        <v>0</v>
      </c>
      <c r="AG107" s="25">
        <f t="shared" si="23"/>
        <v>0</v>
      </c>
      <c r="AH107" s="25">
        <f t="shared" si="23"/>
        <v>0</v>
      </c>
      <c r="AI107" s="25">
        <f t="shared" si="23"/>
        <v>2</v>
      </c>
      <c r="AJ107" s="58">
        <f t="shared" si="14"/>
        <v>2</v>
      </c>
    </row>
    <row r="108" spans="2:36" ht="13.5" thickTop="1">
      <c r="B108" s="26" t="s">
        <v>36</v>
      </c>
      <c r="C108" s="56">
        <f>SUM(C97:C107)</f>
        <v>9408</v>
      </c>
      <c r="D108" s="56">
        <f aca="true" t="shared" si="24" ref="D108:AI108">SUM(D97:D107)</f>
        <v>10889</v>
      </c>
      <c r="E108" s="56">
        <f t="shared" si="24"/>
        <v>10365</v>
      </c>
      <c r="F108" s="56">
        <f t="shared" si="24"/>
        <v>10283</v>
      </c>
      <c r="G108" s="56">
        <f t="shared" si="24"/>
        <v>10499</v>
      </c>
      <c r="H108" s="56">
        <f t="shared" si="24"/>
        <v>10621</v>
      </c>
      <c r="I108" s="56">
        <f t="shared" si="24"/>
        <v>10935</v>
      </c>
      <c r="J108" s="56">
        <f t="shared" si="24"/>
        <v>11172</v>
      </c>
      <c r="K108" s="56">
        <f t="shared" si="24"/>
        <v>11097</v>
      </c>
      <c r="L108" s="56">
        <f t="shared" si="24"/>
        <v>10566</v>
      </c>
      <c r="M108" s="56">
        <f t="shared" si="24"/>
        <v>11894</v>
      </c>
      <c r="N108" s="56">
        <f t="shared" si="24"/>
        <v>11551</v>
      </c>
      <c r="O108" s="56">
        <f t="shared" si="24"/>
        <v>12054</v>
      </c>
      <c r="P108" s="56">
        <f t="shared" si="24"/>
        <v>11727</v>
      </c>
      <c r="Q108" s="56">
        <f t="shared" si="24"/>
        <v>11352</v>
      </c>
      <c r="R108" s="56">
        <f t="shared" si="24"/>
        <v>11751</v>
      </c>
      <c r="S108" s="56">
        <f t="shared" si="24"/>
        <v>11831</v>
      </c>
      <c r="T108" s="56">
        <f t="shared" si="24"/>
        <v>11753</v>
      </c>
      <c r="U108" s="56">
        <f t="shared" si="24"/>
        <v>12046</v>
      </c>
      <c r="V108" s="56">
        <f t="shared" si="24"/>
        <v>12281</v>
      </c>
      <c r="W108" s="56">
        <f t="shared" si="24"/>
        <v>12126</v>
      </c>
      <c r="X108" s="56">
        <f t="shared" si="24"/>
        <v>11851</v>
      </c>
      <c r="Y108" s="56">
        <f t="shared" si="24"/>
        <v>12800</v>
      </c>
      <c r="Z108" s="56">
        <f t="shared" si="24"/>
        <v>11767</v>
      </c>
      <c r="AA108" s="56">
        <f t="shared" si="24"/>
        <v>12778</v>
      </c>
      <c r="AB108" s="56">
        <f t="shared" si="24"/>
        <v>13025</v>
      </c>
      <c r="AC108" s="56">
        <f t="shared" si="24"/>
        <v>12410</v>
      </c>
      <c r="AD108" s="56">
        <f t="shared" si="24"/>
        <v>12938</v>
      </c>
      <c r="AE108" s="56">
        <f t="shared" si="24"/>
        <v>12558</v>
      </c>
      <c r="AF108" s="56">
        <f t="shared" si="24"/>
        <v>13485</v>
      </c>
      <c r="AG108" s="56">
        <f t="shared" si="24"/>
        <v>13047</v>
      </c>
      <c r="AH108" s="56">
        <f t="shared" si="24"/>
        <v>12765</v>
      </c>
      <c r="AI108" s="56">
        <f t="shared" si="24"/>
        <v>13900</v>
      </c>
      <c r="AJ108" s="58">
        <f t="shared" si="14"/>
        <v>1135</v>
      </c>
    </row>
    <row r="109" spans="2:36" s="14" customFormat="1" ht="12.75">
      <c r="B109" s="67" t="s">
        <v>37</v>
      </c>
      <c r="C109" s="68">
        <f>SUM(C97:C99)</f>
        <v>4103</v>
      </c>
      <c r="D109" s="68">
        <f aca="true" t="shared" si="25" ref="D109:AI109">SUM(D97:D99)</f>
        <v>4765</v>
      </c>
      <c r="E109" s="68">
        <f t="shared" si="25"/>
        <v>4492</v>
      </c>
      <c r="F109" s="68">
        <f t="shared" si="25"/>
        <v>4492</v>
      </c>
      <c r="G109" s="68">
        <f t="shared" si="25"/>
        <v>4531</v>
      </c>
      <c r="H109" s="68">
        <f t="shared" si="25"/>
        <v>4664</v>
      </c>
      <c r="I109" s="68">
        <f t="shared" si="25"/>
        <v>4733</v>
      </c>
      <c r="J109" s="68">
        <f t="shared" si="25"/>
        <v>4805</v>
      </c>
      <c r="K109" s="68">
        <f t="shared" si="25"/>
        <v>4846</v>
      </c>
      <c r="L109" s="68">
        <f t="shared" si="25"/>
        <v>4516</v>
      </c>
      <c r="M109" s="68">
        <f t="shared" si="25"/>
        <v>5101</v>
      </c>
      <c r="N109" s="68">
        <f t="shared" si="25"/>
        <v>5000</v>
      </c>
      <c r="O109" s="68">
        <f t="shared" si="25"/>
        <v>5122</v>
      </c>
      <c r="P109" s="68">
        <f t="shared" si="25"/>
        <v>4951</v>
      </c>
      <c r="Q109" s="68">
        <f t="shared" si="25"/>
        <v>4819</v>
      </c>
      <c r="R109" s="68">
        <f t="shared" si="25"/>
        <v>5050</v>
      </c>
      <c r="S109" s="68">
        <f t="shared" si="25"/>
        <v>5055</v>
      </c>
      <c r="T109" s="68">
        <f t="shared" si="25"/>
        <v>5048</v>
      </c>
      <c r="U109" s="68">
        <f t="shared" si="25"/>
        <v>5115</v>
      </c>
      <c r="V109" s="68">
        <f t="shared" si="25"/>
        <v>5276</v>
      </c>
      <c r="W109" s="68">
        <f t="shared" si="25"/>
        <v>5196</v>
      </c>
      <c r="X109" s="68">
        <f t="shared" si="25"/>
        <v>4996</v>
      </c>
      <c r="Y109" s="68">
        <f t="shared" si="25"/>
        <v>5328</v>
      </c>
      <c r="Z109" s="68">
        <f t="shared" si="25"/>
        <v>4924</v>
      </c>
      <c r="AA109" s="68">
        <f t="shared" si="25"/>
        <v>5205</v>
      </c>
      <c r="AB109" s="68">
        <f t="shared" si="25"/>
        <v>5241</v>
      </c>
      <c r="AC109" s="68">
        <f t="shared" si="25"/>
        <v>5014</v>
      </c>
      <c r="AD109" s="68">
        <f t="shared" si="25"/>
        <v>5206</v>
      </c>
      <c r="AE109" s="68">
        <f t="shared" si="25"/>
        <v>5110</v>
      </c>
      <c r="AF109" s="68">
        <f t="shared" si="25"/>
        <v>5464</v>
      </c>
      <c r="AG109" s="68">
        <f t="shared" si="25"/>
        <v>5287</v>
      </c>
      <c r="AH109" s="68">
        <f t="shared" si="25"/>
        <v>5145</v>
      </c>
      <c r="AI109" s="68">
        <f t="shared" si="25"/>
        <v>5649</v>
      </c>
      <c r="AJ109" s="58">
        <f t="shared" si="14"/>
        <v>504</v>
      </c>
    </row>
    <row r="110" spans="2:36" s="14" customFormat="1" ht="13.5" thickBot="1">
      <c r="B110" s="64" t="s">
        <v>68</v>
      </c>
      <c r="C110" s="66">
        <f>C97+C98+C100+C101+C102</f>
        <v>6925</v>
      </c>
      <c r="D110" s="66">
        <f aca="true" t="shared" si="26" ref="D110:AI110">D97+D98+D100+D101+D102</f>
        <v>8062</v>
      </c>
      <c r="E110" s="66">
        <f t="shared" si="26"/>
        <v>7592</v>
      </c>
      <c r="F110" s="66">
        <f t="shared" si="26"/>
        <v>7630</v>
      </c>
      <c r="G110" s="66">
        <f t="shared" si="26"/>
        <v>7788</v>
      </c>
      <c r="H110" s="66">
        <f t="shared" si="26"/>
        <v>7934</v>
      </c>
      <c r="I110" s="66">
        <f t="shared" si="26"/>
        <v>8119</v>
      </c>
      <c r="J110" s="66">
        <f t="shared" si="26"/>
        <v>8296</v>
      </c>
      <c r="K110" s="66">
        <f t="shared" si="26"/>
        <v>8274</v>
      </c>
      <c r="L110" s="66">
        <f t="shared" si="26"/>
        <v>7824</v>
      </c>
      <c r="M110" s="66">
        <f t="shared" si="26"/>
        <v>8842</v>
      </c>
      <c r="N110" s="66">
        <f t="shared" si="26"/>
        <v>8561</v>
      </c>
      <c r="O110" s="66">
        <f t="shared" si="26"/>
        <v>8935</v>
      </c>
      <c r="P110" s="66">
        <f t="shared" si="26"/>
        <v>8674</v>
      </c>
      <c r="Q110" s="66">
        <f t="shared" si="26"/>
        <v>8394</v>
      </c>
      <c r="R110" s="66">
        <f t="shared" si="26"/>
        <v>8702</v>
      </c>
      <c r="S110" s="66">
        <f t="shared" si="26"/>
        <v>8758</v>
      </c>
      <c r="T110" s="66">
        <f t="shared" si="26"/>
        <v>8668</v>
      </c>
      <c r="U110" s="66">
        <f t="shared" si="26"/>
        <v>8857</v>
      </c>
      <c r="V110" s="66">
        <f t="shared" si="26"/>
        <v>9063</v>
      </c>
      <c r="W110" s="66">
        <f t="shared" si="26"/>
        <v>8922</v>
      </c>
      <c r="X110" s="66">
        <f t="shared" si="26"/>
        <v>8746</v>
      </c>
      <c r="Y110" s="66">
        <f t="shared" si="26"/>
        <v>9356</v>
      </c>
      <c r="Z110" s="66">
        <f t="shared" si="26"/>
        <v>8654</v>
      </c>
      <c r="AA110" s="66">
        <f t="shared" si="26"/>
        <v>9364</v>
      </c>
      <c r="AB110" s="66">
        <f t="shared" si="26"/>
        <v>9471</v>
      </c>
      <c r="AC110" s="66">
        <f t="shared" si="26"/>
        <v>9037</v>
      </c>
      <c r="AD110" s="66">
        <f t="shared" si="26"/>
        <v>9435</v>
      </c>
      <c r="AE110" s="66">
        <f t="shared" si="26"/>
        <v>9194</v>
      </c>
      <c r="AF110" s="66">
        <f t="shared" si="26"/>
        <v>9808</v>
      </c>
      <c r="AG110" s="66">
        <f t="shared" si="26"/>
        <v>9514</v>
      </c>
      <c r="AH110" s="66">
        <f t="shared" si="26"/>
        <v>9253</v>
      </c>
      <c r="AI110" s="66">
        <f t="shared" si="26"/>
        <v>10076</v>
      </c>
      <c r="AJ110" s="58">
        <f t="shared" si="14"/>
        <v>823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57" t="s">
        <v>0</v>
      </c>
      <c r="C114" s="55">
        <v>38108</v>
      </c>
      <c r="D114" s="55">
        <v>38139</v>
      </c>
      <c r="E114" s="55">
        <v>38169</v>
      </c>
      <c r="F114" s="55">
        <v>38200</v>
      </c>
      <c r="G114" s="55">
        <v>38231</v>
      </c>
      <c r="H114" s="55">
        <v>38261</v>
      </c>
      <c r="I114" s="55">
        <v>38292</v>
      </c>
      <c r="J114" s="55">
        <v>38322</v>
      </c>
      <c r="K114" s="55">
        <v>38353</v>
      </c>
      <c r="L114" s="55">
        <v>38384</v>
      </c>
      <c r="M114" s="55">
        <v>38412</v>
      </c>
      <c r="N114" s="55">
        <v>38443</v>
      </c>
      <c r="O114" s="55">
        <v>38473</v>
      </c>
      <c r="P114" s="55">
        <v>38504</v>
      </c>
      <c r="Q114" s="55">
        <v>38534</v>
      </c>
      <c r="R114" s="55">
        <v>38565</v>
      </c>
      <c r="S114" s="55">
        <v>38596</v>
      </c>
      <c r="T114" s="55">
        <v>38626</v>
      </c>
      <c r="U114" s="55">
        <v>38657</v>
      </c>
      <c r="V114" s="55">
        <v>38687</v>
      </c>
      <c r="W114" s="55">
        <v>38718</v>
      </c>
      <c r="X114" s="55">
        <v>38749</v>
      </c>
      <c r="Y114" s="55">
        <v>38777</v>
      </c>
      <c r="Z114" s="55">
        <v>38808</v>
      </c>
      <c r="AA114" s="55">
        <v>38838</v>
      </c>
      <c r="AB114" s="55">
        <v>38869</v>
      </c>
      <c r="AC114" s="55">
        <v>38899</v>
      </c>
      <c r="AD114" s="55">
        <v>38930</v>
      </c>
      <c r="AE114" s="55">
        <v>38961</v>
      </c>
      <c r="AF114" s="55">
        <v>38991</v>
      </c>
      <c r="AG114" s="55">
        <v>39022</v>
      </c>
      <c r="AH114" s="55">
        <v>39052</v>
      </c>
      <c r="AI114" s="55">
        <v>39083</v>
      </c>
    </row>
    <row r="115" spans="2:35" ht="13.5" thickTop="1">
      <c r="B115" s="30" t="s">
        <v>27</v>
      </c>
      <c r="C115" s="31">
        <f aca="true" t="shared" si="27" ref="C115:C127">C97/C$108</f>
        <v>0.13934948979591838</v>
      </c>
      <c r="D115" s="31">
        <f aca="true" t="shared" si="28" ref="D115:R115">D97/D$108</f>
        <v>0.1442740380200202</v>
      </c>
      <c r="E115" s="31">
        <f t="shared" si="28"/>
        <v>0.13786782440906897</v>
      </c>
      <c r="F115" s="31">
        <f t="shared" si="28"/>
        <v>0.14198191189341633</v>
      </c>
      <c r="G115" s="31">
        <f t="shared" si="28"/>
        <v>0.13553671778264598</v>
      </c>
      <c r="H115" s="31">
        <f t="shared" si="28"/>
        <v>0.13708690330477355</v>
      </c>
      <c r="I115" s="31">
        <f t="shared" si="28"/>
        <v>0.13717421124828533</v>
      </c>
      <c r="J115" s="31">
        <f t="shared" si="28"/>
        <v>0.1360544217687075</v>
      </c>
      <c r="K115" s="31">
        <f t="shared" si="28"/>
        <v>0.13445075245561863</v>
      </c>
      <c r="L115" s="31">
        <f t="shared" si="28"/>
        <v>0.13164868445958736</v>
      </c>
      <c r="M115" s="31">
        <f t="shared" si="28"/>
        <v>0.13216747940137885</v>
      </c>
      <c r="N115" s="31">
        <f t="shared" si="28"/>
        <v>0.1309843303610077</v>
      </c>
      <c r="O115" s="31">
        <f t="shared" si="28"/>
        <v>0.13439522150323543</v>
      </c>
      <c r="P115" s="31">
        <f t="shared" si="28"/>
        <v>0.13336744265370512</v>
      </c>
      <c r="Q115" s="31">
        <f t="shared" si="28"/>
        <v>0.13662790697674418</v>
      </c>
      <c r="R115" s="31">
        <f t="shared" si="28"/>
        <v>0.14330695259977874</v>
      </c>
      <c r="S115" s="31">
        <f aca="true" t="shared" si="29" ref="S115:AB115">S97/S$108</f>
        <v>0.1432676865860874</v>
      </c>
      <c r="T115" s="31">
        <f t="shared" si="29"/>
        <v>0.1500042542329618</v>
      </c>
      <c r="U115" s="31">
        <f t="shared" si="29"/>
        <v>0.14843101444462892</v>
      </c>
      <c r="V115" s="31">
        <f t="shared" si="29"/>
        <v>0.15202345085905056</v>
      </c>
      <c r="W115" s="31">
        <f t="shared" si="29"/>
        <v>0.15050305129473857</v>
      </c>
      <c r="X115" s="31">
        <f t="shared" si="29"/>
        <v>0.1477512446207071</v>
      </c>
      <c r="Y115" s="31">
        <f t="shared" si="29"/>
        <v>0.150625</v>
      </c>
      <c r="Z115" s="31">
        <f t="shared" si="29"/>
        <v>0.15093056853913486</v>
      </c>
      <c r="AA115" s="31">
        <f t="shared" si="29"/>
        <v>0.15182344654875568</v>
      </c>
      <c r="AB115" s="31">
        <f t="shared" si="29"/>
        <v>0.14587332053742802</v>
      </c>
      <c r="AC115" s="31">
        <f aca="true" t="shared" si="30" ref="AC115:AH123">AC97/AC$108</f>
        <v>0.14875100725221596</v>
      </c>
      <c r="AD115" s="31">
        <f t="shared" si="30"/>
        <v>0.14492193538413975</v>
      </c>
      <c r="AE115" s="31">
        <f t="shared" si="30"/>
        <v>0.15074056378404205</v>
      </c>
      <c r="AF115" s="31">
        <f t="shared" si="30"/>
        <v>0.15076010381905822</v>
      </c>
      <c r="AG115" s="31">
        <f t="shared" si="30"/>
        <v>0.14991952172913314</v>
      </c>
      <c r="AH115" s="31">
        <f t="shared" si="30"/>
        <v>0.14986290638464553</v>
      </c>
      <c r="AI115" s="31">
        <f aca="true" t="shared" si="31" ref="AI115:AI127">AI97/AI$108</f>
        <v>0.15158273381294965</v>
      </c>
    </row>
    <row r="116" spans="2:35" ht="12.75">
      <c r="B116" s="22" t="s">
        <v>28</v>
      </c>
      <c r="C116" s="27">
        <f t="shared" si="27"/>
        <v>0.2967687074829932</v>
      </c>
      <c r="D116" s="27">
        <f aca="true" t="shared" si="32" ref="D116:R116">D98/D$108</f>
        <v>0.2933235375149233</v>
      </c>
      <c r="E116" s="27">
        <f t="shared" si="32"/>
        <v>0.2955137481910275</v>
      </c>
      <c r="F116" s="27">
        <f t="shared" si="32"/>
        <v>0.2948555868909851</v>
      </c>
      <c r="G116" s="27">
        <f t="shared" si="32"/>
        <v>0.29602819316125345</v>
      </c>
      <c r="H116" s="27">
        <f t="shared" si="32"/>
        <v>0.30204312211656154</v>
      </c>
      <c r="I116" s="27">
        <f t="shared" si="32"/>
        <v>0.29565614997713763</v>
      </c>
      <c r="J116" s="27">
        <f t="shared" si="32"/>
        <v>0.29403866809881846</v>
      </c>
      <c r="K116" s="27">
        <f t="shared" si="32"/>
        <v>0.30224384968910517</v>
      </c>
      <c r="L116" s="27">
        <f t="shared" si="32"/>
        <v>0.29575998485708876</v>
      </c>
      <c r="M116" s="27">
        <f t="shared" si="32"/>
        <v>0.29670422061543633</v>
      </c>
      <c r="N116" s="27">
        <f t="shared" si="32"/>
        <v>0.30187862522725306</v>
      </c>
      <c r="O116" s="27">
        <f t="shared" si="32"/>
        <v>0.29052596648415463</v>
      </c>
      <c r="P116" s="27">
        <f t="shared" si="32"/>
        <v>0.2888206702481453</v>
      </c>
      <c r="Q116" s="27">
        <f t="shared" si="32"/>
        <v>0.2878787878787879</v>
      </c>
      <c r="R116" s="27">
        <f t="shared" si="32"/>
        <v>0.28644370691856014</v>
      </c>
      <c r="S116" s="27">
        <f aca="true" t="shared" si="33" ref="S116:AB116">S98/S$108</f>
        <v>0.2839996619051644</v>
      </c>
      <c r="T116" s="27">
        <f t="shared" si="33"/>
        <v>0.2795031055900621</v>
      </c>
      <c r="U116" s="27">
        <f t="shared" si="33"/>
        <v>0.2761912668105595</v>
      </c>
      <c r="V116" s="27">
        <f t="shared" si="33"/>
        <v>0.2775832586922889</v>
      </c>
      <c r="W116" s="27">
        <f t="shared" si="33"/>
        <v>0.2779976909120897</v>
      </c>
      <c r="X116" s="27">
        <f t="shared" si="33"/>
        <v>0.27381655556493123</v>
      </c>
      <c r="Y116" s="27">
        <f t="shared" si="33"/>
        <v>0.265625</v>
      </c>
      <c r="Z116" s="27">
        <f t="shared" si="33"/>
        <v>0.26752783207274583</v>
      </c>
      <c r="AA116" s="27">
        <f t="shared" si="33"/>
        <v>0.2555172953513852</v>
      </c>
      <c r="AB116" s="27">
        <f t="shared" si="33"/>
        <v>0.25573896353166986</v>
      </c>
      <c r="AC116" s="27">
        <f t="shared" si="30"/>
        <v>0.2539887187751813</v>
      </c>
      <c r="AD116" s="27">
        <f t="shared" si="30"/>
        <v>0.25599010666254446</v>
      </c>
      <c r="AE116" s="27">
        <f t="shared" si="30"/>
        <v>0.2534639273769709</v>
      </c>
      <c r="AF116" s="27">
        <f t="shared" si="30"/>
        <v>0.250055617352614</v>
      </c>
      <c r="AG116" s="27">
        <f t="shared" si="30"/>
        <v>0.24932934774277613</v>
      </c>
      <c r="AH116" s="27">
        <f t="shared" si="30"/>
        <v>0.24575009792401098</v>
      </c>
      <c r="AI116" s="27">
        <f t="shared" si="31"/>
        <v>0.24676258992805755</v>
      </c>
    </row>
    <row r="117" spans="2:35" ht="12.75">
      <c r="B117" s="22" t="s">
        <v>54</v>
      </c>
      <c r="C117" s="27">
        <f t="shared" si="27"/>
        <v>0</v>
      </c>
      <c r="D117" s="27">
        <f aca="true" t="shared" si="34" ref="D117:R117">D99/D$108</f>
        <v>0</v>
      </c>
      <c r="E117" s="27">
        <f t="shared" si="34"/>
        <v>0</v>
      </c>
      <c r="F117" s="27">
        <f t="shared" si="34"/>
        <v>0</v>
      </c>
      <c r="G117" s="27">
        <f t="shared" si="34"/>
        <v>0</v>
      </c>
      <c r="H117" s="27">
        <f t="shared" si="34"/>
        <v>0</v>
      </c>
      <c r="I117" s="27">
        <f t="shared" si="34"/>
        <v>0</v>
      </c>
      <c r="J117" s="27">
        <f t="shared" si="34"/>
        <v>0</v>
      </c>
      <c r="K117" s="27">
        <f t="shared" si="34"/>
        <v>0</v>
      </c>
      <c r="L117" s="27">
        <f t="shared" si="34"/>
        <v>0</v>
      </c>
      <c r="M117" s="27">
        <f t="shared" si="34"/>
        <v>0</v>
      </c>
      <c r="N117" s="27">
        <f t="shared" si="34"/>
        <v>0</v>
      </c>
      <c r="O117" s="27">
        <f t="shared" si="34"/>
        <v>0</v>
      </c>
      <c r="P117" s="27">
        <f t="shared" si="34"/>
        <v>0</v>
      </c>
      <c r="Q117" s="27">
        <f t="shared" si="34"/>
        <v>0</v>
      </c>
      <c r="R117" s="27">
        <f t="shared" si="34"/>
        <v>0</v>
      </c>
      <c r="S117" s="27">
        <f aca="true" t="shared" si="35" ref="S117:AB117">S99/S$108</f>
        <v>0</v>
      </c>
      <c r="T117" s="27">
        <f t="shared" si="35"/>
        <v>0</v>
      </c>
      <c r="U117" s="27">
        <f t="shared" si="35"/>
        <v>0</v>
      </c>
      <c r="V117" s="27">
        <f t="shared" si="35"/>
        <v>0</v>
      </c>
      <c r="W117" s="27">
        <f t="shared" si="35"/>
        <v>0</v>
      </c>
      <c r="X117" s="27">
        <f t="shared" si="35"/>
        <v>0</v>
      </c>
      <c r="Y117" s="27">
        <f t="shared" si="35"/>
        <v>0</v>
      </c>
      <c r="Z117" s="27">
        <f t="shared" si="35"/>
        <v>0</v>
      </c>
      <c r="AA117" s="27">
        <f t="shared" si="35"/>
        <v>0</v>
      </c>
      <c r="AB117" s="27">
        <f t="shared" si="35"/>
        <v>0.0007677543186180423</v>
      </c>
      <c r="AC117" s="27">
        <f t="shared" si="30"/>
        <v>0.0012892828364222402</v>
      </c>
      <c r="AD117" s="27">
        <f t="shared" si="30"/>
        <v>0.0014685422785592828</v>
      </c>
      <c r="AE117" s="27">
        <f t="shared" si="30"/>
        <v>0.0027074374900461855</v>
      </c>
      <c r="AF117" s="27">
        <f t="shared" si="30"/>
        <v>0.0043752317389692255</v>
      </c>
      <c r="AG117" s="27">
        <f t="shared" si="30"/>
        <v>0.005978385835824327</v>
      </c>
      <c r="AH117" s="27">
        <f t="shared" si="30"/>
        <v>0.007442224833529181</v>
      </c>
      <c r="AI117" s="27">
        <f t="shared" si="31"/>
        <v>0.008057553956834532</v>
      </c>
    </row>
    <row r="118" spans="2:35" ht="12.75">
      <c r="B118" s="22" t="s">
        <v>29</v>
      </c>
      <c r="C118" s="27">
        <f t="shared" si="27"/>
        <v>0.0665391156462585</v>
      </c>
      <c r="D118" s="27">
        <f aca="true" t="shared" si="36" ref="D118:R118">D100/D$108</f>
        <v>0.06538708788685829</v>
      </c>
      <c r="E118" s="27">
        <f t="shared" si="36"/>
        <v>0.062325132657983597</v>
      </c>
      <c r="F118" s="27">
        <f t="shared" si="36"/>
        <v>0.06389186035203734</v>
      </c>
      <c r="G118" s="27">
        <f t="shared" si="36"/>
        <v>0.06524430898180779</v>
      </c>
      <c r="H118" s="27">
        <f t="shared" si="36"/>
        <v>0.0659071650503719</v>
      </c>
      <c r="I118" s="27">
        <f t="shared" si="36"/>
        <v>0.06639231824417009</v>
      </c>
      <c r="J118" s="27">
        <f t="shared" si="36"/>
        <v>0.0688327962764053</v>
      </c>
      <c r="K118" s="27">
        <f t="shared" si="36"/>
        <v>0.06641434621969902</v>
      </c>
      <c r="L118" s="27">
        <f t="shared" si="36"/>
        <v>0.0668180957789135</v>
      </c>
      <c r="M118" s="27">
        <f t="shared" si="36"/>
        <v>0.06742895577602152</v>
      </c>
      <c r="N118" s="27">
        <f t="shared" si="36"/>
        <v>0.06484287074712146</v>
      </c>
      <c r="O118" s="27">
        <f t="shared" si="36"/>
        <v>0.06893977103036336</v>
      </c>
      <c r="P118" s="27">
        <f t="shared" si="36"/>
        <v>0.06506352860919246</v>
      </c>
      <c r="Q118" s="27">
        <f t="shared" si="36"/>
        <v>0.0636892177589852</v>
      </c>
      <c r="R118" s="27">
        <f t="shared" si="36"/>
        <v>0.06373925623351204</v>
      </c>
      <c r="S118" s="27">
        <f aca="true" t="shared" si="37" ref="S118:AB118">S100/S$108</f>
        <v>0.06271659200405713</v>
      </c>
      <c r="T118" s="27">
        <f t="shared" si="37"/>
        <v>0.0622819705607079</v>
      </c>
      <c r="U118" s="27">
        <f t="shared" si="37"/>
        <v>0.0626764071060933</v>
      </c>
      <c r="V118" s="27">
        <f t="shared" si="37"/>
        <v>0.06017425291100073</v>
      </c>
      <c r="W118" s="27">
        <f t="shared" si="37"/>
        <v>0.06185056902523503</v>
      </c>
      <c r="X118" s="27">
        <f t="shared" si="37"/>
        <v>0.06193570162855455</v>
      </c>
      <c r="Y118" s="27">
        <f t="shared" si="37"/>
        <v>0.058203125</v>
      </c>
      <c r="Z118" s="27">
        <f t="shared" si="37"/>
        <v>0.05804368148211099</v>
      </c>
      <c r="AA118" s="27">
        <f t="shared" si="37"/>
        <v>0.05712944122710909</v>
      </c>
      <c r="AB118" s="27">
        <f t="shared" si="37"/>
        <v>0.05527831094049904</v>
      </c>
      <c r="AC118" s="27">
        <f t="shared" si="30"/>
        <v>0.05414987912973408</v>
      </c>
      <c r="AD118" s="27">
        <f t="shared" si="30"/>
        <v>0.05348585561910651</v>
      </c>
      <c r="AE118" s="27">
        <f t="shared" si="30"/>
        <v>0.052954292084726864</v>
      </c>
      <c r="AF118" s="27">
        <f t="shared" si="30"/>
        <v>0.053763440860215055</v>
      </c>
      <c r="AG118" s="27">
        <f t="shared" si="30"/>
        <v>0.051046217521269255</v>
      </c>
      <c r="AH118" s="27">
        <f t="shared" si="30"/>
        <v>0.050763807285546414</v>
      </c>
      <c r="AI118" s="27">
        <f t="shared" si="31"/>
        <v>0.04870503597122302</v>
      </c>
    </row>
    <row r="119" spans="2:35" ht="12.75">
      <c r="B119" s="22" t="s">
        <v>30</v>
      </c>
      <c r="C119" s="27">
        <f t="shared" si="27"/>
        <v>0.21141581632653061</v>
      </c>
      <c r="D119" s="27">
        <f aca="true" t="shared" si="38" ref="D119:R119">D101/D$108</f>
        <v>0.2094774543116907</v>
      </c>
      <c r="E119" s="27">
        <f t="shared" si="38"/>
        <v>0.20598166907863</v>
      </c>
      <c r="F119" s="27">
        <f t="shared" si="38"/>
        <v>0.20762423417290674</v>
      </c>
      <c r="G119" s="27">
        <f t="shared" si="38"/>
        <v>0.20897228307457852</v>
      </c>
      <c r="H119" s="27">
        <f t="shared" si="38"/>
        <v>0.20958478486018264</v>
      </c>
      <c r="I119" s="27">
        <f t="shared" si="38"/>
        <v>0.21335162322816645</v>
      </c>
      <c r="J119" s="27">
        <f t="shared" si="38"/>
        <v>0.21303258145363407</v>
      </c>
      <c r="K119" s="27">
        <f t="shared" si="38"/>
        <v>0.21276020546093538</v>
      </c>
      <c r="L119" s="27">
        <f t="shared" si="38"/>
        <v>0.21275790270679537</v>
      </c>
      <c r="M119" s="27">
        <f t="shared" si="38"/>
        <v>0.2133848999495544</v>
      </c>
      <c r="N119" s="27">
        <f t="shared" si="38"/>
        <v>0.20924595273136526</v>
      </c>
      <c r="O119" s="27">
        <f t="shared" si="38"/>
        <v>0.2108843537414966</v>
      </c>
      <c r="P119" s="27">
        <f t="shared" si="38"/>
        <v>0.21284215911997953</v>
      </c>
      <c r="Q119" s="27">
        <f t="shared" si="38"/>
        <v>0.21053558844256517</v>
      </c>
      <c r="R119" s="27">
        <f t="shared" si="38"/>
        <v>0.20730150625478683</v>
      </c>
      <c r="S119" s="27">
        <f aca="true" t="shared" si="39" ref="S119:AB119">S101/S$108</f>
        <v>0.20953427436395908</v>
      </c>
      <c r="T119" s="27">
        <f t="shared" si="39"/>
        <v>0.2056496213732664</v>
      </c>
      <c r="U119" s="27">
        <f t="shared" si="39"/>
        <v>0.20654159056948365</v>
      </c>
      <c r="V119" s="27">
        <f t="shared" si="39"/>
        <v>0.2047064571288983</v>
      </c>
      <c r="W119" s="27">
        <f t="shared" si="39"/>
        <v>0.20155038759689922</v>
      </c>
      <c r="X119" s="27">
        <f t="shared" si="39"/>
        <v>0.20318960425280566</v>
      </c>
      <c r="Y119" s="27">
        <f t="shared" si="39"/>
        <v>0.1975</v>
      </c>
      <c r="Z119" s="27">
        <f t="shared" si="39"/>
        <v>0.1948670009348177</v>
      </c>
      <c r="AA119" s="27">
        <f t="shared" si="39"/>
        <v>0.19690092346220064</v>
      </c>
      <c r="AB119" s="27">
        <f t="shared" si="39"/>
        <v>0.1909404990403071</v>
      </c>
      <c r="AC119" s="27">
        <f t="shared" si="30"/>
        <v>0.19073327961321515</v>
      </c>
      <c r="AD119" s="27">
        <f t="shared" si="30"/>
        <v>0.18944195393414748</v>
      </c>
      <c r="AE119" s="27">
        <f t="shared" si="30"/>
        <v>0.1884854276158624</v>
      </c>
      <c r="AF119" s="27">
        <f t="shared" si="30"/>
        <v>0.18375973303670745</v>
      </c>
      <c r="AG119" s="27">
        <f t="shared" si="30"/>
        <v>0.18563654479957079</v>
      </c>
      <c r="AH119" s="27">
        <f t="shared" si="30"/>
        <v>0.18409714061887975</v>
      </c>
      <c r="AI119" s="27">
        <f t="shared" si="31"/>
        <v>0.18035971223021582</v>
      </c>
    </row>
    <row r="120" spans="2:35" ht="12.75">
      <c r="B120" s="22" t="s">
        <v>31</v>
      </c>
      <c r="C120" s="27">
        <f t="shared" si="27"/>
        <v>0.022002551020408163</v>
      </c>
      <c r="D120" s="27">
        <f aca="true" t="shared" si="40" ref="D120:R120">D102/D$108</f>
        <v>0.02791808246854624</v>
      </c>
      <c r="E120" s="27">
        <f t="shared" si="40"/>
        <v>0.030776652194886636</v>
      </c>
      <c r="F120" s="27">
        <f t="shared" si="40"/>
        <v>0.0336477681610425</v>
      </c>
      <c r="G120" s="27">
        <f t="shared" si="40"/>
        <v>0.03600342889799028</v>
      </c>
      <c r="H120" s="27">
        <f t="shared" si="40"/>
        <v>0.032388663967611336</v>
      </c>
      <c r="I120" s="27">
        <f t="shared" si="40"/>
        <v>0.0299039780521262</v>
      </c>
      <c r="J120" s="27">
        <f t="shared" si="40"/>
        <v>0.030612244897959183</v>
      </c>
      <c r="K120" s="27">
        <f t="shared" si="40"/>
        <v>0.029737766964044336</v>
      </c>
      <c r="L120" s="27">
        <f t="shared" si="40"/>
        <v>0.033503691084611015</v>
      </c>
      <c r="M120" s="27">
        <f t="shared" si="40"/>
        <v>0.03371447788801076</v>
      </c>
      <c r="N120" s="27">
        <f t="shared" si="40"/>
        <v>0.0341961734914726</v>
      </c>
      <c r="O120" s="27">
        <f t="shared" si="40"/>
        <v>0.03650240584038494</v>
      </c>
      <c r="P120" s="27">
        <f t="shared" si="40"/>
        <v>0.039566811631278245</v>
      </c>
      <c r="Q120" s="27">
        <f t="shared" si="40"/>
        <v>0.040697674418604654</v>
      </c>
      <c r="R120" s="27">
        <f t="shared" si="40"/>
        <v>0.03974129861288401</v>
      </c>
      <c r="S120" s="27">
        <f aca="true" t="shared" si="41" ref="S120:AB120">S102/S$108</f>
        <v>0.04074042768996704</v>
      </c>
      <c r="T120" s="27">
        <f t="shared" si="41"/>
        <v>0.04007487450012763</v>
      </c>
      <c r="U120" s="27">
        <f t="shared" si="41"/>
        <v>0.04142453926614644</v>
      </c>
      <c r="V120" s="27">
        <f t="shared" si="41"/>
        <v>0.04348180115625763</v>
      </c>
      <c r="W120" s="27">
        <f t="shared" si="41"/>
        <v>0.04387267029523338</v>
      </c>
      <c r="X120" s="27">
        <f t="shared" si="41"/>
        <v>0.05130368745253565</v>
      </c>
      <c r="Y120" s="27">
        <f t="shared" si="41"/>
        <v>0.058984375</v>
      </c>
      <c r="Z120" s="27">
        <f t="shared" si="41"/>
        <v>0.06407750488654712</v>
      </c>
      <c r="AA120" s="27">
        <f t="shared" si="41"/>
        <v>0.07145093128815151</v>
      </c>
      <c r="AB120" s="27">
        <f t="shared" si="41"/>
        <v>0.07930902111324377</v>
      </c>
      <c r="AC120" s="27">
        <f t="shared" si="30"/>
        <v>0.08058017727639001</v>
      </c>
      <c r="AD120" s="27">
        <f t="shared" si="30"/>
        <v>0.08540732725305303</v>
      </c>
      <c r="AE120" s="27">
        <f t="shared" si="30"/>
        <v>0.0864787386526517</v>
      </c>
      <c r="AF120" s="27">
        <f t="shared" si="30"/>
        <v>0.08898776418242492</v>
      </c>
      <c r="AG120" s="27">
        <f t="shared" si="30"/>
        <v>0.09327814823331033</v>
      </c>
      <c r="AH120" s="27">
        <f t="shared" si="30"/>
        <v>0.09439874657265962</v>
      </c>
      <c r="AI120" s="27">
        <f t="shared" si="31"/>
        <v>0.0974820143884892</v>
      </c>
    </row>
    <row r="121" spans="2:35" ht="12.75">
      <c r="B121" s="22" t="s">
        <v>32</v>
      </c>
      <c r="C121" s="27">
        <f t="shared" si="27"/>
        <v>0</v>
      </c>
      <c r="D121" s="27">
        <f aca="true" t="shared" si="42" ref="D121:R121">D103/D$108</f>
        <v>0</v>
      </c>
      <c r="E121" s="27">
        <f t="shared" si="42"/>
        <v>0</v>
      </c>
      <c r="F121" s="27">
        <f t="shared" si="42"/>
        <v>0</v>
      </c>
      <c r="G121" s="27">
        <f t="shared" si="42"/>
        <v>0</v>
      </c>
      <c r="H121" s="27">
        <f t="shared" si="42"/>
        <v>0</v>
      </c>
      <c r="I121" s="27">
        <f t="shared" si="42"/>
        <v>0</v>
      </c>
      <c r="J121" s="27">
        <f t="shared" si="42"/>
        <v>0</v>
      </c>
      <c r="K121" s="27">
        <f t="shared" si="42"/>
        <v>0.0020726322429485446</v>
      </c>
      <c r="L121" s="27">
        <f t="shared" si="42"/>
        <v>0.005867878099564641</v>
      </c>
      <c r="M121" s="27">
        <f t="shared" si="42"/>
        <v>0.01101395661678157</v>
      </c>
      <c r="N121" s="27">
        <f t="shared" si="42"/>
        <v>0.013765041987706693</v>
      </c>
      <c r="O121" s="27">
        <f t="shared" si="42"/>
        <v>0.01833416293346607</v>
      </c>
      <c r="P121" s="27">
        <f t="shared" si="42"/>
        <v>0.01927176601006225</v>
      </c>
      <c r="Q121" s="27">
        <f t="shared" si="42"/>
        <v>0.021670190274841437</v>
      </c>
      <c r="R121" s="27">
        <f t="shared" si="42"/>
        <v>0.02118968598417156</v>
      </c>
      <c r="S121" s="27">
        <f aca="true" t="shared" si="43" ref="S121:AB121">S103/S$108</f>
        <v>0.022314259149691488</v>
      </c>
      <c r="T121" s="27">
        <f t="shared" si="43"/>
        <v>0.02501488981536629</v>
      </c>
      <c r="U121" s="27">
        <f t="shared" si="43"/>
        <v>0.025402623277436493</v>
      </c>
      <c r="V121" s="27">
        <f t="shared" si="43"/>
        <v>0.02646364302581223</v>
      </c>
      <c r="W121" s="27">
        <f t="shared" si="43"/>
        <v>0.027956457199406235</v>
      </c>
      <c r="X121" s="27">
        <f t="shared" si="43"/>
        <v>0.029533372711163616</v>
      </c>
      <c r="Y121" s="27">
        <f t="shared" si="43"/>
        <v>0.02953125</v>
      </c>
      <c r="Z121" s="27">
        <f t="shared" si="43"/>
        <v>0.030933967876264127</v>
      </c>
      <c r="AA121" s="27">
        <f t="shared" si="43"/>
        <v>0.030755986852402568</v>
      </c>
      <c r="AB121" s="27">
        <f t="shared" si="43"/>
        <v>0.03147792706333973</v>
      </c>
      <c r="AC121" s="27">
        <f t="shared" si="30"/>
        <v>0.03166800966962127</v>
      </c>
      <c r="AD121" s="27">
        <f t="shared" si="30"/>
        <v>0.03168959653733189</v>
      </c>
      <c r="AE121" s="27">
        <f t="shared" si="30"/>
        <v>0.030418856505813028</v>
      </c>
      <c r="AF121" s="27">
        <f t="shared" si="30"/>
        <v>0.029514275120504262</v>
      </c>
      <c r="AG121" s="27">
        <f t="shared" si="30"/>
        <v>0.03058174292940906</v>
      </c>
      <c r="AH121" s="27">
        <f t="shared" si="30"/>
        <v>0.03008225616921269</v>
      </c>
      <c r="AI121" s="27">
        <f t="shared" si="31"/>
        <v>0.031007194244604318</v>
      </c>
    </row>
    <row r="122" spans="2:35" ht="12.75">
      <c r="B122" s="22" t="s">
        <v>33</v>
      </c>
      <c r="C122" s="27">
        <f t="shared" si="27"/>
        <v>0</v>
      </c>
      <c r="D122" s="27">
        <f aca="true" t="shared" si="44" ref="D122:R122">D104/D$108</f>
        <v>0</v>
      </c>
      <c r="E122" s="27">
        <f t="shared" si="44"/>
        <v>0</v>
      </c>
      <c r="F122" s="27">
        <f t="shared" si="44"/>
        <v>0</v>
      </c>
      <c r="G122" s="27">
        <f t="shared" si="44"/>
        <v>0</v>
      </c>
      <c r="H122" s="27">
        <f t="shared" si="44"/>
        <v>0</v>
      </c>
      <c r="I122" s="27">
        <f t="shared" si="44"/>
        <v>0</v>
      </c>
      <c r="J122" s="27">
        <f t="shared" si="44"/>
        <v>0</v>
      </c>
      <c r="K122" s="27">
        <f t="shared" si="44"/>
        <v>0</v>
      </c>
      <c r="L122" s="27">
        <f t="shared" si="44"/>
        <v>0</v>
      </c>
      <c r="M122" s="27">
        <f t="shared" si="44"/>
        <v>0</v>
      </c>
      <c r="N122" s="27">
        <f t="shared" si="44"/>
        <v>0</v>
      </c>
      <c r="O122" s="27">
        <f t="shared" si="44"/>
        <v>0</v>
      </c>
      <c r="P122" s="27">
        <f t="shared" si="44"/>
        <v>0</v>
      </c>
      <c r="Q122" s="27">
        <f t="shared" si="44"/>
        <v>0</v>
      </c>
      <c r="R122" s="27">
        <f t="shared" si="44"/>
        <v>0</v>
      </c>
      <c r="S122" s="27">
        <f aca="true" t="shared" si="45" ref="S122:AB122">S104/S$108</f>
        <v>0</v>
      </c>
      <c r="T122" s="27">
        <f t="shared" si="45"/>
        <v>0</v>
      </c>
      <c r="U122" s="27">
        <f t="shared" si="45"/>
        <v>0</v>
      </c>
      <c r="V122" s="27">
        <f t="shared" si="45"/>
        <v>0</v>
      </c>
      <c r="W122" s="27">
        <f t="shared" si="45"/>
        <v>0.0006597394029358403</v>
      </c>
      <c r="X122" s="27">
        <f t="shared" si="45"/>
        <v>0.0031220994008944393</v>
      </c>
      <c r="Y122" s="27">
        <f t="shared" si="45"/>
        <v>0.007265625</v>
      </c>
      <c r="Z122" s="27">
        <f t="shared" si="45"/>
        <v>0.009433160533695929</v>
      </c>
      <c r="AA122" s="27">
        <f t="shared" si="45"/>
        <v>0.014634528095163562</v>
      </c>
      <c r="AB122" s="27">
        <f t="shared" si="45"/>
        <v>0.015201535508637237</v>
      </c>
      <c r="AC122" s="27">
        <f t="shared" si="30"/>
        <v>0.015874294923448832</v>
      </c>
      <c r="AD122" s="27">
        <f t="shared" si="30"/>
        <v>0.017313340547225227</v>
      </c>
      <c r="AE122" s="27">
        <f t="shared" si="30"/>
        <v>0.019748367574454532</v>
      </c>
      <c r="AF122" s="27">
        <f t="shared" si="30"/>
        <v>0.01839080459770115</v>
      </c>
      <c r="AG122" s="27">
        <f t="shared" si="30"/>
        <v>0.02000459875833525</v>
      </c>
      <c r="AH122" s="27">
        <f t="shared" si="30"/>
        <v>0.022169996083039562</v>
      </c>
      <c r="AI122" s="27">
        <f t="shared" si="31"/>
        <v>0.022589928057553957</v>
      </c>
    </row>
    <row r="123" spans="2:35" ht="12.75">
      <c r="B123" s="22" t="s">
        <v>34</v>
      </c>
      <c r="C123" s="27">
        <f t="shared" si="27"/>
        <v>0.004145408163265306</v>
      </c>
      <c r="D123" s="27">
        <f aca="true" t="shared" si="46" ref="D123:R123">D105/D$108</f>
        <v>0.0024795665350353566</v>
      </c>
      <c r="E123" s="27">
        <f t="shared" si="46"/>
        <v>0.002894356005788712</v>
      </c>
      <c r="F123" s="27">
        <f t="shared" si="46"/>
        <v>0.0029174365457551297</v>
      </c>
      <c r="G123" s="27">
        <f t="shared" si="46"/>
        <v>0.0026669206591103914</v>
      </c>
      <c r="H123" s="27">
        <f t="shared" si="46"/>
        <v>0.0025421335090857733</v>
      </c>
      <c r="I123" s="27">
        <f t="shared" si="46"/>
        <v>0.0021947873799725653</v>
      </c>
      <c r="J123" s="27">
        <f t="shared" si="46"/>
        <v>0.0025957751521661298</v>
      </c>
      <c r="K123" s="27">
        <f t="shared" si="46"/>
        <v>0.0021627466882941336</v>
      </c>
      <c r="L123" s="27">
        <f t="shared" si="46"/>
        <v>0.00236607987885671</v>
      </c>
      <c r="M123" s="27">
        <f t="shared" si="46"/>
        <v>0.002522280141247688</v>
      </c>
      <c r="N123" s="27">
        <f t="shared" si="46"/>
        <v>0.0025106051424119125</v>
      </c>
      <c r="O123" s="27">
        <f t="shared" si="46"/>
        <v>0.002239920358387257</v>
      </c>
      <c r="P123" s="27">
        <f t="shared" si="46"/>
        <v>0.0023023791250959325</v>
      </c>
      <c r="Q123" s="27">
        <f t="shared" si="46"/>
        <v>0.002642706131078224</v>
      </c>
      <c r="R123" s="27">
        <f t="shared" si="46"/>
        <v>0.0027231724959577907</v>
      </c>
      <c r="S123" s="27">
        <f aca="true" t="shared" si="47" ref="S123:AB123">S105/S$108</f>
        <v>0.002028569013608317</v>
      </c>
      <c r="T123" s="27">
        <f t="shared" si="47"/>
        <v>0.0027227090955500724</v>
      </c>
      <c r="U123" s="27">
        <f t="shared" si="47"/>
        <v>0.0024074381537439815</v>
      </c>
      <c r="V123" s="27">
        <f t="shared" si="47"/>
        <v>0.0024427978177672827</v>
      </c>
      <c r="W123" s="27">
        <f t="shared" si="47"/>
        <v>0.002638957611743361</v>
      </c>
      <c r="X123" s="27">
        <f t="shared" si="47"/>
        <v>0.0021095266222259726</v>
      </c>
      <c r="Y123" s="27">
        <f t="shared" si="47"/>
        <v>0.00265625</v>
      </c>
      <c r="Z123" s="27">
        <f t="shared" si="47"/>
        <v>0.002379535990481856</v>
      </c>
      <c r="AA123" s="27">
        <f t="shared" si="47"/>
        <v>0.0021130067303177335</v>
      </c>
      <c r="AB123" s="27">
        <f t="shared" si="47"/>
        <v>0.002687140115163148</v>
      </c>
      <c r="AC123" s="27">
        <f t="shared" si="30"/>
        <v>0.0022562449637389204</v>
      </c>
      <c r="AD123" s="27">
        <f t="shared" si="30"/>
        <v>0.002473334363889318</v>
      </c>
      <c r="AE123" s="27">
        <f t="shared" si="30"/>
        <v>0.002229654403567447</v>
      </c>
      <c r="AF123" s="27">
        <f t="shared" si="30"/>
        <v>0.002521319985168706</v>
      </c>
      <c r="AG123" s="27">
        <f t="shared" si="30"/>
        <v>0.0027592550011496897</v>
      </c>
      <c r="AH123" s="27">
        <f t="shared" si="30"/>
        <v>0.0023501762632197414</v>
      </c>
      <c r="AI123" s="27">
        <f t="shared" si="31"/>
        <v>0.002517985611510791</v>
      </c>
    </row>
    <row r="124" spans="2:35" ht="12.75">
      <c r="B124" s="90" t="s">
        <v>35</v>
      </c>
      <c r="C124" s="91">
        <f t="shared" si="27"/>
        <v>0.25977891156462585</v>
      </c>
      <c r="D124" s="91">
        <f aca="true" t="shared" si="48" ref="D124:AH124">D106/D$108</f>
        <v>0.2571402332629259</v>
      </c>
      <c r="E124" s="91">
        <f t="shared" si="48"/>
        <v>0.2646406174626146</v>
      </c>
      <c r="F124" s="91">
        <f t="shared" si="48"/>
        <v>0.25508120198385686</v>
      </c>
      <c r="G124" s="91">
        <f t="shared" si="48"/>
        <v>0.25554814744261356</v>
      </c>
      <c r="H124" s="91">
        <f t="shared" si="48"/>
        <v>0.2504472271914132</v>
      </c>
      <c r="I124" s="91">
        <f t="shared" si="48"/>
        <v>0.25532693187014177</v>
      </c>
      <c r="J124" s="91">
        <f t="shared" si="48"/>
        <v>0.25483351235230933</v>
      </c>
      <c r="K124" s="91">
        <f t="shared" si="48"/>
        <v>0.2501577002793548</v>
      </c>
      <c r="L124" s="91">
        <f t="shared" si="48"/>
        <v>0.2512776831345826</v>
      </c>
      <c r="M124" s="91">
        <f t="shared" si="48"/>
        <v>0.24306372961156886</v>
      </c>
      <c r="N124" s="91">
        <f t="shared" si="48"/>
        <v>0.24257640031166133</v>
      </c>
      <c r="O124" s="91">
        <f t="shared" si="48"/>
        <v>0.2381781981085117</v>
      </c>
      <c r="P124" s="91">
        <f t="shared" si="48"/>
        <v>0.23876524260254114</v>
      </c>
      <c r="Q124" s="91">
        <f t="shared" si="48"/>
        <v>0.23625792811839325</v>
      </c>
      <c r="R124" s="91">
        <f t="shared" si="48"/>
        <v>0.2355544209003489</v>
      </c>
      <c r="S124" s="91">
        <f t="shared" si="48"/>
        <v>0.23539852928746513</v>
      </c>
      <c r="T124" s="91">
        <f t="shared" si="48"/>
        <v>0.2347485748319578</v>
      </c>
      <c r="U124" s="91">
        <f t="shared" si="48"/>
        <v>0.2369251203719077</v>
      </c>
      <c r="V124" s="91">
        <f t="shared" si="48"/>
        <v>0.23312433840892435</v>
      </c>
      <c r="W124" s="91">
        <f t="shared" si="48"/>
        <v>0.23297047666171863</v>
      </c>
      <c r="X124" s="91">
        <f t="shared" si="48"/>
        <v>0.22723820774618175</v>
      </c>
      <c r="Y124" s="91">
        <f t="shared" si="48"/>
        <v>0.229609375</v>
      </c>
      <c r="Z124" s="91">
        <f t="shared" si="48"/>
        <v>0.22180674768420158</v>
      </c>
      <c r="AA124" s="91">
        <f t="shared" si="48"/>
        <v>0.219674440444514</v>
      </c>
      <c r="AB124" s="91">
        <f t="shared" si="48"/>
        <v>0.22272552783109406</v>
      </c>
      <c r="AC124" s="91">
        <f t="shared" si="48"/>
        <v>0.22070910556003223</v>
      </c>
      <c r="AD124" s="91">
        <f t="shared" si="48"/>
        <v>0.21780800742000309</v>
      </c>
      <c r="AE124" s="91">
        <f t="shared" si="48"/>
        <v>0.21277273451186496</v>
      </c>
      <c r="AF124" s="91">
        <f t="shared" si="48"/>
        <v>0.217871709306637</v>
      </c>
      <c r="AG124" s="91">
        <f t="shared" si="48"/>
        <v>0.21146623744922205</v>
      </c>
      <c r="AH124" s="91">
        <f t="shared" si="48"/>
        <v>0.21308264786525657</v>
      </c>
      <c r="AI124" s="91">
        <f t="shared" si="31"/>
        <v>0.21079136690647482</v>
      </c>
    </row>
    <row r="125" spans="2:35" ht="13.5" thickBot="1">
      <c r="B125" s="24" t="s">
        <v>109</v>
      </c>
      <c r="C125" s="28">
        <f t="shared" si="27"/>
        <v>0</v>
      </c>
      <c r="D125" s="28">
        <f aca="true" t="shared" si="49" ref="D125:AH125">D107/D$108</f>
        <v>0</v>
      </c>
      <c r="E125" s="28">
        <f t="shared" si="49"/>
        <v>0</v>
      </c>
      <c r="F125" s="28">
        <f t="shared" si="49"/>
        <v>0</v>
      </c>
      <c r="G125" s="28">
        <f t="shared" si="49"/>
        <v>0</v>
      </c>
      <c r="H125" s="28">
        <f t="shared" si="49"/>
        <v>0</v>
      </c>
      <c r="I125" s="28">
        <f t="shared" si="49"/>
        <v>0</v>
      </c>
      <c r="J125" s="28">
        <f t="shared" si="49"/>
        <v>0</v>
      </c>
      <c r="K125" s="28">
        <f t="shared" si="49"/>
        <v>0</v>
      </c>
      <c r="L125" s="28">
        <f t="shared" si="49"/>
        <v>0</v>
      </c>
      <c r="M125" s="28">
        <f t="shared" si="49"/>
        <v>0</v>
      </c>
      <c r="N125" s="28">
        <f t="shared" si="49"/>
        <v>0</v>
      </c>
      <c r="O125" s="28">
        <f t="shared" si="49"/>
        <v>0</v>
      </c>
      <c r="P125" s="28">
        <f t="shared" si="49"/>
        <v>0</v>
      </c>
      <c r="Q125" s="28">
        <f t="shared" si="49"/>
        <v>0</v>
      </c>
      <c r="R125" s="28">
        <f t="shared" si="49"/>
        <v>0</v>
      </c>
      <c r="S125" s="28">
        <f t="shared" si="49"/>
        <v>0</v>
      </c>
      <c r="T125" s="28">
        <f t="shared" si="49"/>
        <v>0</v>
      </c>
      <c r="U125" s="28">
        <f t="shared" si="49"/>
        <v>0</v>
      </c>
      <c r="V125" s="28">
        <f t="shared" si="49"/>
        <v>0</v>
      </c>
      <c r="W125" s="28">
        <f t="shared" si="49"/>
        <v>0</v>
      </c>
      <c r="X125" s="28">
        <f t="shared" si="49"/>
        <v>0</v>
      </c>
      <c r="Y125" s="28">
        <f t="shared" si="49"/>
        <v>0</v>
      </c>
      <c r="Z125" s="28">
        <f t="shared" si="49"/>
        <v>0</v>
      </c>
      <c r="AA125" s="28">
        <f t="shared" si="49"/>
        <v>0</v>
      </c>
      <c r="AB125" s="28">
        <f t="shared" si="49"/>
        <v>0</v>
      </c>
      <c r="AC125" s="28">
        <f t="shared" si="49"/>
        <v>0</v>
      </c>
      <c r="AD125" s="28">
        <f t="shared" si="49"/>
        <v>0</v>
      </c>
      <c r="AE125" s="28">
        <f t="shared" si="49"/>
        <v>0</v>
      </c>
      <c r="AF125" s="28">
        <f t="shared" si="49"/>
        <v>0</v>
      </c>
      <c r="AG125" s="28">
        <f t="shared" si="49"/>
        <v>0</v>
      </c>
      <c r="AH125" s="28">
        <f t="shared" si="49"/>
        <v>0</v>
      </c>
      <c r="AI125" s="28">
        <f t="shared" si="31"/>
        <v>0.00014388489208633093</v>
      </c>
    </row>
    <row r="126" spans="2:35" ht="13.5" thickTop="1">
      <c r="B126" s="26" t="s">
        <v>36</v>
      </c>
      <c r="C126" s="29">
        <f t="shared" si="27"/>
        <v>1</v>
      </c>
      <c r="D126" s="29">
        <f aca="true" t="shared" si="50" ref="D126:R126">D108/D$108</f>
        <v>1</v>
      </c>
      <c r="E126" s="29">
        <f t="shared" si="50"/>
        <v>1</v>
      </c>
      <c r="F126" s="29">
        <f t="shared" si="50"/>
        <v>1</v>
      </c>
      <c r="G126" s="29">
        <f t="shared" si="50"/>
        <v>1</v>
      </c>
      <c r="H126" s="29">
        <f t="shared" si="50"/>
        <v>1</v>
      </c>
      <c r="I126" s="29">
        <f t="shared" si="50"/>
        <v>1</v>
      </c>
      <c r="J126" s="29">
        <f t="shared" si="50"/>
        <v>1</v>
      </c>
      <c r="K126" s="29">
        <f t="shared" si="50"/>
        <v>1</v>
      </c>
      <c r="L126" s="29">
        <f t="shared" si="50"/>
        <v>1</v>
      </c>
      <c r="M126" s="29">
        <f t="shared" si="50"/>
        <v>1</v>
      </c>
      <c r="N126" s="29">
        <f t="shared" si="50"/>
        <v>1</v>
      </c>
      <c r="O126" s="29">
        <f t="shared" si="50"/>
        <v>1</v>
      </c>
      <c r="P126" s="29">
        <f t="shared" si="50"/>
        <v>1</v>
      </c>
      <c r="Q126" s="29">
        <f t="shared" si="50"/>
        <v>1</v>
      </c>
      <c r="R126" s="29">
        <f t="shared" si="50"/>
        <v>1</v>
      </c>
      <c r="S126" s="29">
        <f aca="true" t="shared" si="51" ref="S126:AB126">S108/S$108</f>
        <v>1</v>
      </c>
      <c r="T126" s="29">
        <f t="shared" si="51"/>
        <v>1</v>
      </c>
      <c r="U126" s="29">
        <f t="shared" si="51"/>
        <v>1</v>
      </c>
      <c r="V126" s="29">
        <f t="shared" si="51"/>
        <v>1</v>
      </c>
      <c r="W126" s="29">
        <f t="shared" si="51"/>
        <v>1</v>
      </c>
      <c r="X126" s="29">
        <f t="shared" si="51"/>
        <v>1</v>
      </c>
      <c r="Y126" s="29">
        <f t="shared" si="51"/>
        <v>1</v>
      </c>
      <c r="Z126" s="29">
        <f t="shared" si="51"/>
        <v>1</v>
      </c>
      <c r="AA126" s="29">
        <f t="shared" si="51"/>
        <v>1</v>
      </c>
      <c r="AB126" s="29">
        <f t="shared" si="51"/>
        <v>1</v>
      </c>
      <c r="AC126" s="29">
        <f aca="true" t="shared" si="52" ref="AC126:AH127">AC108/AC$108</f>
        <v>1</v>
      </c>
      <c r="AD126" s="29">
        <f t="shared" si="52"/>
        <v>1</v>
      </c>
      <c r="AE126" s="29">
        <f t="shared" si="52"/>
        <v>1</v>
      </c>
      <c r="AF126" s="29">
        <f t="shared" si="52"/>
        <v>1</v>
      </c>
      <c r="AG126" s="29">
        <f t="shared" si="52"/>
        <v>1</v>
      </c>
      <c r="AH126" s="29">
        <f t="shared" si="52"/>
        <v>1</v>
      </c>
      <c r="AI126" s="29">
        <f t="shared" si="31"/>
        <v>1</v>
      </c>
    </row>
    <row r="127" spans="2:37" ht="12.75">
      <c r="B127" s="67" t="s">
        <v>37</v>
      </c>
      <c r="C127" s="69">
        <f t="shared" si="27"/>
        <v>0.43611819727891155</v>
      </c>
      <c r="D127" s="69">
        <f aca="true" t="shared" si="53" ref="D127:R127">D109/D$108</f>
        <v>0.4375975755349435</v>
      </c>
      <c r="E127" s="69">
        <f t="shared" si="53"/>
        <v>0.43338157260009647</v>
      </c>
      <c r="F127" s="69">
        <f t="shared" si="53"/>
        <v>0.4368374987844014</v>
      </c>
      <c r="G127" s="69">
        <f t="shared" si="53"/>
        <v>0.4315649109438994</v>
      </c>
      <c r="H127" s="69">
        <f t="shared" si="53"/>
        <v>0.4391300254213351</v>
      </c>
      <c r="I127" s="69">
        <f t="shared" si="53"/>
        <v>0.43283036122542295</v>
      </c>
      <c r="J127" s="69">
        <f t="shared" si="53"/>
        <v>0.430093089867526</v>
      </c>
      <c r="K127" s="69">
        <f t="shared" si="53"/>
        <v>0.4366946021447238</v>
      </c>
      <c r="L127" s="69">
        <f t="shared" si="53"/>
        <v>0.42740866931667615</v>
      </c>
      <c r="M127" s="69">
        <f t="shared" si="53"/>
        <v>0.4288717000168152</v>
      </c>
      <c r="N127" s="69">
        <f t="shared" si="53"/>
        <v>0.43286295558826077</v>
      </c>
      <c r="O127" s="69">
        <f t="shared" si="53"/>
        <v>0.4249211879873901</v>
      </c>
      <c r="P127" s="69">
        <f t="shared" si="53"/>
        <v>0.42218811290185043</v>
      </c>
      <c r="Q127" s="69">
        <f t="shared" si="53"/>
        <v>0.42450669485553205</v>
      </c>
      <c r="R127" s="69">
        <f t="shared" si="53"/>
        <v>0.42975065951833885</v>
      </c>
      <c r="S127" s="69">
        <f aca="true" t="shared" si="54" ref="S127:AB127">S109/S$108</f>
        <v>0.4272673484912518</v>
      </c>
      <c r="T127" s="69">
        <f t="shared" si="54"/>
        <v>0.4295073598230239</v>
      </c>
      <c r="U127" s="69">
        <f t="shared" si="54"/>
        <v>0.42462228125518847</v>
      </c>
      <c r="V127" s="69">
        <f t="shared" si="54"/>
        <v>0.42960670955133945</v>
      </c>
      <c r="W127" s="69">
        <f t="shared" si="54"/>
        <v>0.4285007422068283</v>
      </c>
      <c r="X127" s="69">
        <f t="shared" si="54"/>
        <v>0.42156780018563833</v>
      </c>
      <c r="Y127" s="69">
        <f t="shared" si="54"/>
        <v>0.41625</v>
      </c>
      <c r="Z127" s="69">
        <f t="shared" si="54"/>
        <v>0.41845840061188067</v>
      </c>
      <c r="AA127" s="69">
        <f t="shared" si="54"/>
        <v>0.40734074190014086</v>
      </c>
      <c r="AB127" s="69">
        <f t="shared" si="54"/>
        <v>0.4023800383877159</v>
      </c>
      <c r="AC127" s="108">
        <f t="shared" si="52"/>
        <v>0.4040290088638195</v>
      </c>
      <c r="AD127" s="69">
        <f t="shared" si="52"/>
        <v>0.4023805843252435</v>
      </c>
      <c r="AE127" s="69">
        <f t="shared" si="52"/>
        <v>0.4069119286510591</v>
      </c>
      <c r="AF127" s="69">
        <f t="shared" si="52"/>
        <v>0.40519095291064144</v>
      </c>
      <c r="AG127" s="69">
        <f t="shared" si="52"/>
        <v>0.40522725530773357</v>
      </c>
      <c r="AH127" s="69">
        <f t="shared" si="52"/>
        <v>0.40305522914218567</v>
      </c>
      <c r="AI127" s="108">
        <f t="shared" si="31"/>
        <v>0.4064028776978417</v>
      </c>
      <c r="AK127" s="107">
        <f>(AI127-AC127)/AC127</f>
        <v>0.005875491071044279</v>
      </c>
    </row>
    <row r="128" spans="2:35" s="14" customFormat="1" ht="13.5" thickBot="1">
      <c r="B128" s="64" t="s">
        <v>68</v>
      </c>
      <c r="C128" s="65">
        <f>C110/C108</f>
        <v>0.7360756802721088</v>
      </c>
      <c r="D128" s="65">
        <f aca="true" t="shared" si="55" ref="D128:AB128">D110/D108</f>
        <v>0.7403802002020388</v>
      </c>
      <c r="E128" s="65">
        <f t="shared" si="55"/>
        <v>0.7324650265315967</v>
      </c>
      <c r="F128" s="65">
        <f t="shared" si="55"/>
        <v>0.742001361470388</v>
      </c>
      <c r="G128" s="65">
        <f t="shared" si="55"/>
        <v>0.741784931898276</v>
      </c>
      <c r="H128" s="65">
        <f t="shared" si="55"/>
        <v>0.747010639299501</v>
      </c>
      <c r="I128" s="65">
        <f t="shared" si="55"/>
        <v>0.7424782807498856</v>
      </c>
      <c r="J128" s="65">
        <f t="shared" si="55"/>
        <v>0.7425707124955245</v>
      </c>
      <c r="K128" s="65">
        <f t="shared" si="55"/>
        <v>0.7456069207894025</v>
      </c>
      <c r="L128" s="65">
        <f t="shared" si="55"/>
        <v>0.740488358886996</v>
      </c>
      <c r="M128" s="65">
        <f t="shared" si="55"/>
        <v>0.7434000336304019</v>
      </c>
      <c r="N128" s="65">
        <f t="shared" si="55"/>
        <v>0.7411479525582201</v>
      </c>
      <c r="O128" s="65">
        <f t="shared" si="55"/>
        <v>0.741247718599635</v>
      </c>
      <c r="P128" s="65">
        <f t="shared" si="55"/>
        <v>0.7396606122623006</v>
      </c>
      <c r="Q128" s="65">
        <f t="shared" si="55"/>
        <v>0.7394291754756871</v>
      </c>
      <c r="R128" s="65">
        <f t="shared" si="55"/>
        <v>0.7405327206195217</v>
      </c>
      <c r="S128" s="65">
        <f t="shared" si="55"/>
        <v>0.740258642549235</v>
      </c>
      <c r="T128" s="65">
        <f t="shared" si="55"/>
        <v>0.7375138262571258</v>
      </c>
      <c r="U128" s="65">
        <f t="shared" si="55"/>
        <v>0.7352648181969118</v>
      </c>
      <c r="V128" s="65">
        <f t="shared" si="55"/>
        <v>0.7379692207474962</v>
      </c>
      <c r="W128" s="65">
        <f t="shared" si="55"/>
        <v>0.7357743691241959</v>
      </c>
      <c r="X128" s="65">
        <f t="shared" si="55"/>
        <v>0.7379967935195342</v>
      </c>
      <c r="Y128" s="65">
        <f t="shared" si="55"/>
        <v>0.7309375</v>
      </c>
      <c r="Z128" s="65">
        <f t="shared" si="55"/>
        <v>0.7354465879153566</v>
      </c>
      <c r="AA128" s="65">
        <f t="shared" si="55"/>
        <v>0.7328220378776021</v>
      </c>
      <c r="AB128" s="65">
        <f t="shared" si="55"/>
        <v>0.7271401151631478</v>
      </c>
      <c r="AC128" s="65">
        <f aca="true" t="shared" si="56" ref="AC128:AH128">AC110/AC108</f>
        <v>0.7282030620467365</v>
      </c>
      <c r="AD128" s="65">
        <f t="shared" si="56"/>
        <v>0.7292471788529912</v>
      </c>
      <c r="AE128" s="65">
        <f t="shared" si="56"/>
        <v>0.7321229495142538</v>
      </c>
      <c r="AF128" s="65">
        <f t="shared" si="56"/>
        <v>0.7273266592510197</v>
      </c>
      <c r="AG128" s="65">
        <f t="shared" si="56"/>
        <v>0.7292097800260596</v>
      </c>
      <c r="AH128" s="65">
        <f t="shared" si="56"/>
        <v>0.7248726987857422</v>
      </c>
      <c r="AI128" s="65">
        <f>AI110/AI108</f>
        <v>0.7248920863309353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1"/>
  <sheetViews>
    <sheetView workbookViewId="0" topLeftCell="AE83">
      <selection activeCell="F1" sqref="F1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73</v>
      </c>
    </row>
    <row r="3" spans="1:35" s="70" customFormat="1" ht="39" thickBot="1">
      <c r="A3" s="72" t="s">
        <v>115</v>
      </c>
      <c r="B3" s="81" t="s">
        <v>0</v>
      </c>
      <c r="C3" s="81" t="s">
        <v>55</v>
      </c>
      <c r="D3" s="81" t="s">
        <v>56</v>
      </c>
      <c r="E3" s="81" t="s">
        <v>57</v>
      </c>
      <c r="F3" s="81" t="s">
        <v>58</v>
      </c>
      <c r="G3" s="81" t="s">
        <v>59</v>
      </c>
      <c r="H3" s="81" t="s">
        <v>60</v>
      </c>
      <c r="I3" s="81" t="s">
        <v>61</v>
      </c>
      <c r="J3" s="81" t="s">
        <v>67</v>
      </c>
      <c r="K3" s="81" t="s">
        <v>63</v>
      </c>
      <c r="L3" s="81" t="s">
        <v>64</v>
      </c>
      <c r="M3" s="81" t="s">
        <v>65</v>
      </c>
      <c r="N3" s="81" t="s">
        <v>38</v>
      </c>
      <c r="O3" s="8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44</v>
      </c>
      <c r="U3" s="81" t="s">
        <v>45</v>
      </c>
      <c r="V3" s="81" t="s">
        <v>46</v>
      </c>
      <c r="W3" s="81" t="s">
        <v>47</v>
      </c>
      <c r="X3" s="81" t="s">
        <v>66</v>
      </c>
      <c r="Y3" s="81" t="s">
        <v>49</v>
      </c>
      <c r="Z3" s="81" t="s">
        <v>50</v>
      </c>
      <c r="AA3" s="81" t="s">
        <v>51</v>
      </c>
      <c r="AB3" s="81" t="s">
        <v>52</v>
      </c>
      <c r="AC3" s="81" t="s">
        <v>69</v>
      </c>
      <c r="AD3" s="81" t="s">
        <v>70</v>
      </c>
      <c r="AE3" s="81" t="s">
        <v>76</v>
      </c>
      <c r="AF3" s="81" t="s">
        <v>77</v>
      </c>
      <c r="AG3" s="81" t="s">
        <v>106</v>
      </c>
      <c r="AH3" s="81" t="s">
        <v>107</v>
      </c>
      <c r="AI3" s="81" t="s">
        <v>110</v>
      </c>
    </row>
    <row r="4" spans="1:35" ht="26.25" thickTop="1">
      <c r="A4" s="106">
        <v>1</v>
      </c>
      <c r="B4" s="82" t="s">
        <v>78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0</v>
      </c>
      <c r="S4" s="106">
        <v>0</v>
      </c>
      <c r="T4" s="106">
        <v>0</v>
      </c>
      <c r="U4" s="106">
        <v>0</v>
      </c>
      <c r="V4" s="106">
        <v>6</v>
      </c>
      <c r="W4" s="106">
        <v>5</v>
      </c>
      <c r="X4" s="106">
        <v>13</v>
      </c>
      <c r="Y4" s="106">
        <v>19</v>
      </c>
      <c r="Z4" s="106">
        <v>15</v>
      </c>
      <c r="AA4" s="106">
        <v>27</v>
      </c>
      <c r="AB4" s="106">
        <v>30</v>
      </c>
      <c r="AC4" s="106">
        <v>33</v>
      </c>
      <c r="AD4" s="106">
        <v>31</v>
      </c>
      <c r="AE4" s="106">
        <v>36</v>
      </c>
      <c r="AF4" s="106">
        <v>35</v>
      </c>
      <c r="AG4" s="106">
        <v>45</v>
      </c>
      <c r="AH4" s="106">
        <v>17</v>
      </c>
      <c r="AI4" s="106">
        <v>46</v>
      </c>
    </row>
    <row r="5" spans="1:35" ht="25.5">
      <c r="A5" s="106">
        <v>2</v>
      </c>
      <c r="B5" s="82" t="s">
        <v>79</v>
      </c>
      <c r="C5" s="106">
        <v>1203</v>
      </c>
      <c r="D5" s="106">
        <v>1580</v>
      </c>
      <c r="E5" s="106">
        <v>1388</v>
      </c>
      <c r="F5" s="106">
        <v>1437</v>
      </c>
      <c r="G5" s="106">
        <v>1385</v>
      </c>
      <c r="H5" s="106">
        <v>1399</v>
      </c>
      <c r="I5" s="106">
        <v>1444</v>
      </c>
      <c r="J5" s="106">
        <v>1472</v>
      </c>
      <c r="K5" s="106">
        <v>1401</v>
      </c>
      <c r="L5" s="106">
        <v>1250</v>
      </c>
      <c r="M5" s="106">
        <v>1523</v>
      </c>
      <c r="N5" s="106">
        <v>1402</v>
      </c>
      <c r="O5" s="106">
        <v>1491</v>
      </c>
      <c r="P5" s="106">
        <v>1423</v>
      </c>
      <c r="Q5" s="106">
        <v>1391</v>
      </c>
      <c r="R5" s="106">
        <v>1555</v>
      </c>
      <c r="S5" s="106">
        <v>1576</v>
      </c>
      <c r="T5" s="106">
        <v>1617</v>
      </c>
      <c r="U5" s="106">
        <v>1627</v>
      </c>
      <c r="V5" s="106">
        <v>1702</v>
      </c>
      <c r="W5" s="106">
        <v>1667</v>
      </c>
      <c r="X5" s="106">
        <v>1566</v>
      </c>
      <c r="Y5" s="106">
        <v>1777</v>
      </c>
      <c r="Z5" s="106">
        <v>1574</v>
      </c>
      <c r="AA5" s="106">
        <v>1780</v>
      </c>
      <c r="AB5" s="106">
        <v>1735</v>
      </c>
      <c r="AC5" s="106">
        <v>1666</v>
      </c>
      <c r="AD5" s="106">
        <v>1724</v>
      </c>
      <c r="AE5" s="106">
        <v>1709</v>
      </c>
      <c r="AF5" s="106">
        <v>1878</v>
      </c>
      <c r="AG5" s="106">
        <v>1769</v>
      </c>
      <c r="AH5" s="106">
        <v>1741</v>
      </c>
      <c r="AI5" s="106">
        <v>1992</v>
      </c>
    </row>
    <row r="6" spans="1:35" ht="25.5">
      <c r="A6" s="106">
        <v>3</v>
      </c>
      <c r="B6" s="82" t="s">
        <v>80</v>
      </c>
      <c r="C6" s="106">
        <v>192</v>
      </c>
      <c r="D6" s="106">
        <v>253</v>
      </c>
      <c r="E6" s="106">
        <v>213</v>
      </c>
      <c r="F6" s="106">
        <v>221</v>
      </c>
      <c r="G6" s="106">
        <v>228</v>
      </c>
      <c r="H6" s="106">
        <v>207</v>
      </c>
      <c r="I6" s="106">
        <v>239</v>
      </c>
      <c r="J6" s="106">
        <v>261</v>
      </c>
      <c r="K6" s="106">
        <v>251</v>
      </c>
      <c r="L6" s="106">
        <v>239</v>
      </c>
      <c r="M6" s="106">
        <v>264</v>
      </c>
      <c r="N6" s="106">
        <v>256</v>
      </c>
      <c r="O6" s="106">
        <v>274</v>
      </c>
      <c r="P6" s="106">
        <v>285</v>
      </c>
      <c r="Q6" s="106">
        <v>267</v>
      </c>
      <c r="R6" s="106">
        <v>294</v>
      </c>
      <c r="S6" s="106">
        <v>288</v>
      </c>
      <c r="T6" s="106">
        <v>296</v>
      </c>
      <c r="U6" s="106">
        <v>321</v>
      </c>
      <c r="V6" s="106">
        <v>346</v>
      </c>
      <c r="W6" s="106">
        <v>321</v>
      </c>
      <c r="X6" s="106">
        <v>301</v>
      </c>
      <c r="Y6" s="106">
        <v>332</v>
      </c>
      <c r="Z6" s="106">
        <v>294</v>
      </c>
      <c r="AA6" s="106">
        <v>350</v>
      </c>
      <c r="AB6" s="106">
        <v>332</v>
      </c>
      <c r="AC6" s="106">
        <v>302</v>
      </c>
      <c r="AD6" s="106">
        <v>328</v>
      </c>
      <c r="AE6" s="106">
        <v>299</v>
      </c>
      <c r="AF6" s="106">
        <v>349</v>
      </c>
      <c r="AG6" s="106">
        <v>323</v>
      </c>
      <c r="AH6" s="106">
        <v>302</v>
      </c>
      <c r="AI6" s="106">
        <v>326</v>
      </c>
    </row>
    <row r="7" spans="1:35" ht="25.5">
      <c r="A7" s="106">
        <v>4</v>
      </c>
      <c r="B7" s="82" t="s">
        <v>81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7</v>
      </c>
      <c r="AF7" s="106">
        <v>6</v>
      </c>
      <c r="AG7" s="106">
        <v>21</v>
      </c>
      <c r="AH7" s="106">
        <v>17</v>
      </c>
      <c r="AI7" s="106">
        <v>30</v>
      </c>
    </row>
    <row r="8" spans="1:35" ht="25.5">
      <c r="A8" s="106">
        <v>5</v>
      </c>
      <c r="B8" s="82" t="s">
        <v>82</v>
      </c>
      <c r="C8" s="106">
        <v>2204</v>
      </c>
      <c r="D8" s="106">
        <v>2750</v>
      </c>
      <c r="E8" s="106">
        <v>2489</v>
      </c>
      <c r="F8" s="106">
        <v>2519</v>
      </c>
      <c r="G8" s="106">
        <v>2563</v>
      </c>
      <c r="H8" s="106">
        <v>2611</v>
      </c>
      <c r="I8" s="106">
        <v>2657</v>
      </c>
      <c r="J8" s="106">
        <v>2699</v>
      </c>
      <c r="K8" s="106">
        <v>2711</v>
      </c>
      <c r="L8" s="106">
        <v>2434</v>
      </c>
      <c r="M8" s="106">
        <v>2959</v>
      </c>
      <c r="N8" s="106">
        <v>2782</v>
      </c>
      <c r="O8" s="106">
        <v>2867</v>
      </c>
      <c r="P8" s="106">
        <v>2702</v>
      </c>
      <c r="Q8" s="106">
        <v>2577</v>
      </c>
      <c r="R8" s="106">
        <v>2728</v>
      </c>
      <c r="S8" s="106">
        <v>2720</v>
      </c>
      <c r="T8" s="106">
        <v>2587</v>
      </c>
      <c r="U8" s="106">
        <v>2694</v>
      </c>
      <c r="V8" s="106">
        <v>2725</v>
      </c>
      <c r="W8" s="106">
        <v>2630</v>
      </c>
      <c r="X8" s="106">
        <v>2509</v>
      </c>
      <c r="Y8" s="106">
        <v>2715</v>
      </c>
      <c r="Z8" s="106">
        <v>2400</v>
      </c>
      <c r="AA8" s="106">
        <v>2659</v>
      </c>
      <c r="AB8" s="106">
        <v>2638</v>
      </c>
      <c r="AC8" s="106">
        <v>2401</v>
      </c>
      <c r="AD8" s="106">
        <v>2568</v>
      </c>
      <c r="AE8" s="106">
        <v>2466</v>
      </c>
      <c r="AF8" s="106">
        <v>2653</v>
      </c>
      <c r="AG8" s="106">
        <v>2525</v>
      </c>
      <c r="AH8" s="106">
        <v>2391</v>
      </c>
      <c r="AI8" s="106">
        <v>2716</v>
      </c>
    </row>
    <row r="9" spans="1:35" ht="25.5">
      <c r="A9" s="106">
        <v>6</v>
      </c>
      <c r="B9" s="82" t="s">
        <v>83</v>
      </c>
      <c r="C9" s="106">
        <v>788</v>
      </c>
      <c r="D9" s="106">
        <v>968</v>
      </c>
      <c r="E9" s="106">
        <v>892</v>
      </c>
      <c r="F9" s="106">
        <v>918</v>
      </c>
      <c r="G9" s="106">
        <v>939</v>
      </c>
      <c r="H9" s="106">
        <v>925</v>
      </c>
      <c r="I9" s="106">
        <v>967</v>
      </c>
      <c r="J9" s="106">
        <v>1019</v>
      </c>
      <c r="K9" s="106">
        <v>999</v>
      </c>
      <c r="L9" s="106">
        <v>928</v>
      </c>
      <c r="M9" s="106">
        <v>1103</v>
      </c>
      <c r="N9" s="106">
        <v>1064</v>
      </c>
      <c r="O9" s="106">
        <v>1099</v>
      </c>
      <c r="P9" s="106">
        <v>1079</v>
      </c>
      <c r="Q9" s="106">
        <v>1000</v>
      </c>
      <c r="R9" s="106">
        <v>1114</v>
      </c>
      <c r="S9" s="106">
        <v>1089</v>
      </c>
      <c r="T9" s="106">
        <v>1065</v>
      </c>
      <c r="U9" s="106">
        <v>1082</v>
      </c>
      <c r="V9" s="106">
        <v>1093</v>
      </c>
      <c r="W9" s="106">
        <v>1083</v>
      </c>
      <c r="X9" s="106">
        <v>997</v>
      </c>
      <c r="Y9" s="106">
        <v>1107</v>
      </c>
      <c r="Z9" s="106">
        <v>999</v>
      </c>
      <c r="AA9" s="106">
        <v>1081</v>
      </c>
      <c r="AB9" s="106">
        <v>1116</v>
      </c>
      <c r="AC9" s="106">
        <v>974</v>
      </c>
      <c r="AD9" s="106">
        <v>1102</v>
      </c>
      <c r="AE9" s="106">
        <v>1013</v>
      </c>
      <c r="AF9" s="106">
        <v>1084</v>
      </c>
      <c r="AG9" s="106">
        <v>1003</v>
      </c>
      <c r="AH9" s="106">
        <v>954</v>
      </c>
      <c r="AI9" s="106">
        <v>1140</v>
      </c>
    </row>
    <row r="10" spans="1:35" ht="12.75">
      <c r="A10" s="106">
        <v>7</v>
      </c>
      <c r="B10" s="82" t="s">
        <v>84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10</v>
      </c>
      <c r="AC10" s="106">
        <v>16</v>
      </c>
      <c r="AD10" s="106">
        <v>23</v>
      </c>
      <c r="AE10" s="106">
        <v>35</v>
      </c>
      <c r="AF10" s="106">
        <v>63</v>
      </c>
      <c r="AG10" s="106">
        <v>85</v>
      </c>
      <c r="AH10" s="106">
        <v>101</v>
      </c>
      <c r="AI10" s="106">
        <v>120</v>
      </c>
    </row>
    <row r="11" spans="1:35" ht="25.5">
      <c r="A11" s="106">
        <v>8</v>
      </c>
      <c r="B11" s="82" t="s">
        <v>85</v>
      </c>
      <c r="C11" s="106">
        <v>129</v>
      </c>
      <c r="D11" s="106">
        <v>163</v>
      </c>
      <c r="E11" s="106">
        <v>148</v>
      </c>
      <c r="F11" s="106">
        <v>149</v>
      </c>
      <c r="G11" s="106">
        <v>145</v>
      </c>
      <c r="H11" s="106">
        <v>141</v>
      </c>
      <c r="I11" s="106">
        <v>150</v>
      </c>
      <c r="J11" s="106">
        <v>155</v>
      </c>
      <c r="K11" s="106">
        <v>136</v>
      </c>
      <c r="L11" s="106">
        <v>141</v>
      </c>
      <c r="M11" s="106">
        <v>164</v>
      </c>
      <c r="N11" s="106">
        <v>137</v>
      </c>
      <c r="O11" s="106">
        <v>152</v>
      </c>
      <c r="P11" s="106">
        <v>150</v>
      </c>
      <c r="Q11" s="106">
        <v>138</v>
      </c>
      <c r="R11" s="106">
        <v>136</v>
      </c>
      <c r="S11" s="106">
        <v>144</v>
      </c>
      <c r="T11" s="106">
        <v>141</v>
      </c>
      <c r="U11" s="106">
        <v>155</v>
      </c>
      <c r="V11" s="106">
        <v>169</v>
      </c>
      <c r="W11" s="106">
        <v>170</v>
      </c>
      <c r="X11" s="106">
        <v>147</v>
      </c>
      <c r="Y11" s="106">
        <v>171</v>
      </c>
      <c r="Z11" s="106">
        <v>145</v>
      </c>
      <c r="AA11" s="106">
        <v>169</v>
      </c>
      <c r="AB11" s="106">
        <v>159</v>
      </c>
      <c r="AC11" s="106">
        <v>157</v>
      </c>
      <c r="AD11" s="106">
        <v>155</v>
      </c>
      <c r="AE11" s="106">
        <v>143</v>
      </c>
      <c r="AF11" s="106">
        <v>152</v>
      </c>
      <c r="AG11" s="106">
        <v>138</v>
      </c>
      <c r="AH11" s="106">
        <v>126</v>
      </c>
      <c r="AI11" s="106">
        <v>159</v>
      </c>
    </row>
    <row r="12" spans="1:35" ht="25.5">
      <c r="A12" s="106">
        <v>9</v>
      </c>
      <c r="B12" s="82" t="s">
        <v>86</v>
      </c>
      <c r="C12" s="106">
        <v>288</v>
      </c>
      <c r="D12" s="106">
        <v>340</v>
      </c>
      <c r="E12" s="106">
        <v>295</v>
      </c>
      <c r="F12" s="106">
        <v>303</v>
      </c>
      <c r="G12" s="106">
        <v>315</v>
      </c>
      <c r="H12" s="106">
        <v>317</v>
      </c>
      <c r="I12" s="106">
        <v>343</v>
      </c>
      <c r="J12" s="106">
        <v>383</v>
      </c>
      <c r="K12" s="106">
        <v>355</v>
      </c>
      <c r="L12" s="106">
        <v>332</v>
      </c>
      <c r="M12" s="106">
        <v>405</v>
      </c>
      <c r="N12" s="106">
        <v>368</v>
      </c>
      <c r="O12" s="106">
        <v>429</v>
      </c>
      <c r="P12" s="106">
        <v>372</v>
      </c>
      <c r="Q12" s="106">
        <v>343</v>
      </c>
      <c r="R12" s="106">
        <v>402</v>
      </c>
      <c r="S12" s="106">
        <v>363</v>
      </c>
      <c r="T12" s="106">
        <v>356</v>
      </c>
      <c r="U12" s="106">
        <v>358</v>
      </c>
      <c r="V12" s="106">
        <v>333</v>
      </c>
      <c r="W12" s="106">
        <v>336</v>
      </c>
      <c r="X12" s="106">
        <v>348</v>
      </c>
      <c r="Y12" s="106">
        <v>336</v>
      </c>
      <c r="Z12" s="106">
        <v>309</v>
      </c>
      <c r="AA12" s="106">
        <v>352</v>
      </c>
      <c r="AB12" s="106">
        <v>320</v>
      </c>
      <c r="AC12" s="106">
        <v>295</v>
      </c>
      <c r="AD12" s="106">
        <v>322</v>
      </c>
      <c r="AE12" s="106">
        <v>310</v>
      </c>
      <c r="AF12" s="106">
        <v>323</v>
      </c>
      <c r="AG12" s="106">
        <v>298</v>
      </c>
      <c r="AH12" s="106">
        <v>285</v>
      </c>
      <c r="AI12" s="106">
        <v>311</v>
      </c>
    </row>
    <row r="13" spans="1:35" ht="25.5">
      <c r="A13" s="106">
        <v>10</v>
      </c>
      <c r="B13" s="82" t="s">
        <v>87</v>
      </c>
      <c r="C13" s="106">
        <v>247</v>
      </c>
      <c r="D13" s="106">
        <v>317</v>
      </c>
      <c r="E13" s="106">
        <v>271</v>
      </c>
      <c r="F13" s="106">
        <v>291</v>
      </c>
      <c r="G13" s="106">
        <v>302</v>
      </c>
      <c r="H13" s="106">
        <v>302</v>
      </c>
      <c r="I13" s="106">
        <v>313</v>
      </c>
      <c r="J13" s="106">
        <v>320</v>
      </c>
      <c r="K13" s="106">
        <v>304</v>
      </c>
      <c r="L13" s="106">
        <v>276</v>
      </c>
      <c r="M13" s="106">
        <v>358</v>
      </c>
      <c r="N13" s="106">
        <v>307</v>
      </c>
      <c r="O13" s="106">
        <v>353</v>
      </c>
      <c r="P13" s="106">
        <v>329</v>
      </c>
      <c r="Q13" s="106">
        <v>306</v>
      </c>
      <c r="R13" s="106">
        <v>320</v>
      </c>
      <c r="S13" s="106">
        <v>307</v>
      </c>
      <c r="T13" s="106">
        <v>315</v>
      </c>
      <c r="U13" s="106">
        <v>322</v>
      </c>
      <c r="V13" s="106">
        <v>320</v>
      </c>
      <c r="W13" s="106">
        <v>321</v>
      </c>
      <c r="X13" s="106">
        <v>302</v>
      </c>
      <c r="Y13" s="106">
        <v>323</v>
      </c>
      <c r="Z13" s="106">
        <v>288</v>
      </c>
      <c r="AA13" s="106">
        <v>314</v>
      </c>
      <c r="AB13" s="106">
        <v>320</v>
      </c>
      <c r="AC13" s="106">
        <v>286</v>
      </c>
      <c r="AD13" s="106">
        <v>300</v>
      </c>
      <c r="AE13" s="106">
        <v>262</v>
      </c>
      <c r="AF13" s="106">
        <v>302</v>
      </c>
      <c r="AG13" s="106">
        <v>273</v>
      </c>
      <c r="AH13" s="106">
        <v>275</v>
      </c>
      <c r="AI13" s="106">
        <v>286</v>
      </c>
    </row>
    <row r="14" spans="1:35" ht="12.75">
      <c r="A14" s="106">
        <v>11</v>
      </c>
      <c r="B14" s="82" t="s">
        <v>88</v>
      </c>
      <c r="C14" s="106">
        <v>1229</v>
      </c>
      <c r="D14" s="106">
        <v>1514</v>
      </c>
      <c r="E14" s="106">
        <v>1394</v>
      </c>
      <c r="F14" s="106">
        <v>1355</v>
      </c>
      <c r="G14" s="106">
        <v>1391</v>
      </c>
      <c r="H14" s="106">
        <v>1395</v>
      </c>
      <c r="I14" s="106">
        <v>1500</v>
      </c>
      <c r="J14" s="106">
        <v>1518</v>
      </c>
      <c r="K14" s="106">
        <v>1501</v>
      </c>
      <c r="L14" s="106">
        <v>1414</v>
      </c>
      <c r="M14" s="106">
        <v>1717</v>
      </c>
      <c r="N14" s="106">
        <v>1558</v>
      </c>
      <c r="O14" s="106">
        <v>1706</v>
      </c>
      <c r="P14" s="106">
        <v>1620</v>
      </c>
      <c r="Q14" s="106">
        <v>1527</v>
      </c>
      <c r="R14" s="106">
        <v>1608</v>
      </c>
      <c r="S14" s="106">
        <v>1672</v>
      </c>
      <c r="T14" s="106">
        <v>1571</v>
      </c>
      <c r="U14" s="106">
        <v>1649</v>
      </c>
      <c r="V14" s="106">
        <v>1678</v>
      </c>
      <c r="W14" s="106">
        <v>1569</v>
      </c>
      <c r="X14" s="106">
        <v>1528</v>
      </c>
      <c r="Y14" s="106">
        <v>1672</v>
      </c>
      <c r="Z14" s="106">
        <v>1422</v>
      </c>
      <c r="AA14" s="106">
        <v>1670</v>
      </c>
      <c r="AB14" s="106">
        <v>1628</v>
      </c>
      <c r="AC14" s="106">
        <v>1531</v>
      </c>
      <c r="AD14" s="106">
        <v>1642</v>
      </c>
      <c r="AE14" s="106">
        <v>1507</v>
      </c>
      <c r="AF14" s="106">
        <v>1633</v>
      </c>
      <c r="AG14" s="106">
        <v>1538</v>
      </c>
      <c r="AH14" s="106">
        <v>1492</v>
      </c>
      <c r="AI14" s="106">
        <v>1659</v>
      </c>
    </row>
    <row r="15" spans="1:35" ht="12.75">
      <c r="A15" s="106">
        <v>12</v>
      </c>
      <c r="B15" s="82" t="s">
        <v>89</v>
      </c>
      <c r="C15" s="106">
        <v>466</v>
      </c>
      <c r="D15" s="106">
        <v>571</v>
      </c>
      <c r="E15" s="106">
        <v>503</v>
      </c>
      <c r="F15" s="106">
        <v>539</v>
      </c>
      <c r="G15" s="106">
        <v>569</v>
      </c>
      <c r="H15" s="106">
        <v>567</v>
      </c>
      <c r="I15" s="106">
        <v>582</v>
      </c>
      <c r="J15" s="106">
        <v>636</v>
      </c>
      <c r="K15" s="106">
        <v>579</v>
      </c>
      <c r="L15" s="106">
        <v>533</v>
      </c>
      <c r="M15" s="106">
        <v>644</v>
      </c>
      <c r="N15" s="106">
        <v>602</v>
      </c>
      <c r="O15" s="106">
        <v>640</v>
      </c>
      <c r="P15" s="106">
        <v>637</v>
      </c>
      <c r="Q15" s="106">
        <v>600</v>
      </c>
      <c r="R15" s="106">
        <v>639</v>
      </c>
      <c r="S15" s="106">
        <v>590</v>
      </c>
      <c r="T15" s="106">
        <v>589</v>
      </c>
      <c r="U15" s="106">
        <v>590</v>
      </c>
      <c r="V15" s="106">
        <v>633</v>
      </c>
      <c r="W15" s="106">
        <v>576</v>
      </c>
      <c r="X15" s="106">
        <v>577</v>
      </c>
      <c r="Y15" s="106">
        <v>637</v>
      </c>
      <c r="Z15" s="106">
        <v>550</v>
      </c>
      <c r="AA15" s="106">
        <v>632</v>
      </c>
      <c r="AB15" s="106">
        <v>622</v>
      </c>
      <c r="AC15" s="106">
        <v>550</v>
      </c>
      <c r="AD15" s="106">
        <v>621</v>
      </c>
      <c r="AE15" s="106">
        <v>568</v>
      </c>
      <c r="AF15" s="106">
        <v>607</v>
      </c>
      <c r="AG15" s="106">
        <v>596</v>
      </c>
      <c r="AH15" s="106">
        <v>556</v>
      </c>
      <c r="AI15" s="106">
        <v>632</v>
      </c>
    </row>
    <row r="16" spans="1:35" ht="12.75">
      <c r="A16" s="106">
        <v>13</v>
      </c>
      <c r="B16" s="82" t="s">
        <v>90</v>
      </c>
      <c r="C16" s="106">
        <v>419</v>
      </c>
      <c r="D16" s="106">
        <v>525</v>
      </c>
      <c r="E16" s="106">
        <v>462</v>
      </c>
      <c r="F16" s="106">
        <v>457</v>
      </c>
      <c r="G16" s="106">
        <v>464</v>
      </c>
      <c r="H16" s="106">
        <v>466</v>
      </c>
      <c r="I16" s="106">
        <v>488</v>
      </c>
      <c r="J16" s="106">
        <v>482</v>
      </c>
      <c r="K16" s="106">
        <v>474</v>
      </c>
      <c r="L16" s="106">
        <v>439</v>
      </c>
      <c r="M16" s="106">
        <v>517</v>
      </c>
      <c r="N16" s="106">
        <v>466</v>
      </c>
      <c r="O16" s="106">
        <v>481</v>
      </c>
      <c r="P16" s="106">
        <v>483</v>
      </c>
      <c r="Q16" s="106">
        <v>457</v>
      </c>
      <c r="R16" s="106">
        <v>506</v>
      </c>
      <c r="S16" s="106">
        <v>499</v>
      </c>
      <c r="T16" s="106">
        <v>464</v>
      </c>
      <c r="U16" s="106">
        <v>513</v>
      </c>
      <c r="V16" s="106">
        <v>505</v>
      </c>
      <c r="W16" s="106">
        <v>486</v>
      </c>
      <c r="X16" s="106">
        <v>459</v>
      </c>
      <c r="Y16" s="106">
        <v>518</v>
      </c>
      <c r="Z16" s="106">
        <v>440</v>
      </c>
      <c r="AA16" s="106">
        <v>517</v>
      </c>
      <c r="AB16" s="106">
        <v>512</v>
      </c>
      <c r="AC16" s="106">
        <v>471</v>
      </c>
      <c r="AD16" s="106">
        <v>504</v>
      </c>
      <c r="AE16" s="106">
        <v>488</v>
      </c>
      <c r="AF16" s="106">
        <v>527</v>
      </c>
      <c r="AG16" s="106">
        <v>481</v>
      </c>
      <c r="AH16" s="106">
        <v>445</v>
      </c>
      <c r="AI16" s="106">
        <v>530</v>
      </c>
    </row>
    <row r="17" spans="1:35" ht="12.75">
      <c r="A17" s="106">
        <v>14</v>
      </c>
      <c r="B17" s="82" t="s">
        <v>91</v>
      </c>
      <c r="C17" s="106">
        <v>21</v>
      </c>
      <c r="D17" s="106">
        <v>31</v>
      </c>
      <c r="E17" s="106">
        <v>22</v>
      </c>
      <c r="F17" s="106">
        <v>24</v>
      </c>
      <c r="G17" s="106">
        <v>28</v>
      </c>
      <c r="H17" s="106">
        <v>29</v>
      </c>
      <c r="I17" s="106">
        <v>37</v>
      </c>
      <c r="J17" s="106">
        <v>42</v>
      </c>
      <c r="K17" s="106">
        <v>45</v>
      </c>
      <c r="L17" s="106">
        <v>44</v>
      </c>
      <c r="M17" s="106">
        <v>41</v>
      </c>
      <c r="N17" s="106">
        <v>51</v>
      </c>
      <c r="O17" s="106">
        <v>41</v>
      </c>
      <c r="P17" s="106">
        <v>46</v>
      </c>
      <c r="Q17" s="106">
        <v>43</v>
      </c>
      <c r="R17" s="106">
        <v>38</v>
      </c>
      <c r="S17" s="106">
        <v>47</v>
      </c>
      <c r="T17" s="106">
        <v>39</v>
      </c>
      <c r="U17" s="106">
        <v>33</v>
      </c>
      <c r="V17" s="106">
        <v>37</v>
      </c>
      <c r="W17" s="106">
        <v>42</v>
      </c>
      <c r="X17" s="106">
        <v>38</v>
      </c>
      <c r="Y17" s="106">
        <v>42</v>
      </c>
      <c r="Z17" s="106">
        <v>36</v>
      </c>
      <c r="AA17" s="106">
        <v>40</v>
      </c>
      <c r="AB17" s="106">
        <v>38</v>
      </c>
      <c r="AC17" s="106">
        <v>41</v>
      </c>
      <c r="AD17" s="106">
        <v>52</v>
      </c>
      <c r="AE17" s="106">
        <v>52</v>
      </c>
      <c r="AF17" s="106">
        <v>46</v>
      </c>
      <c r="AG17" s="106">
        <v>55</v>
      </c>
      <c r="AH17" s="106">
        <v>58</v>
      </c>
      <c r="AI17" s="106">
        <v>76</v>
      </c>
    </row>
    <row r="18" spans="1:35" ht="12.75">
      <c r="A18" s="106">
        <v>15</v>
      </c>
      <c r="B18" s="82" t="s">
        <v>92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74</v>
      </c>
      <c r="Y18" s="106">
        <v>192</v>
      </c>
      <c r="Z18" s="106">
        <v>251</v>
      </c>
      <c r="AA18" s="106">
        <v>355</v>
      </c>
      <c r="AB18" s="106">
        <v>437</v>
      </c>
      <c r="AC18" s="106">
        <v>455</v>
      </c>
      <c r="AD18" s="106">
        <v>522</v>
      </c>
      <c r="AE18" s="106">
        <v>527</v>
      </c>
      <c r="AF18" s="106">
        <v>614</v>
      </c>
      <c r="AG18" s="106">
        <v>630</v>
      </c>
      <c r="AH18" s="106">
        <v>613</v>
      </c>
      <c r="AI18" s="106">
        <v>786</v>
      </c>
    </row>
    <row r="19" spans="1:35" ht="12.75">
      <c r="A19" s="106">
        <v>16</v>
      </c>
      <c r="B19" s="82" t="s">
        <v>93</v>
      </c>
      <c r="C19" s="106">
        <v>199</v>
      </c>
      <c r="D19" s="106">
        <v>330</v>
      </c>
      <c r="E19" s="106">
        <v>350</v>
      </c>
      <c r="F19" s="106">
        <v>369</v>
      </c>
      <c r="G19" s="106">
        <v>384</v>
      </c>
      <c r="H19" s="106">
        <v>348</v>
      </c>
      <c r="I19" s="106">
        <v>329</v>
      </c>
      <c r="J19" s="106">
        <v>351</v>
      </c>
      <c r="K19" s="106">
        <v>330</v>
      </c>
      <c r="L19" s="106">
        <v>352</v>
      </c>
      <c r="M19" s="106">
        <v>410</v>
      </c>
      <c r="N19" s="106">
        <v>404</v>
      </c>
      <c r="O19" s="106">
        <v>445</v>
      </c>
      <c r="P19" s="106">
        <v>475</v>
      </c>
      <c r="Q19" s="106">
        <v>450</v>
      </c>
      <c r="R19" s="106">
        <v>484</v>
      </c>
      <c r="S19" s="106">
        <v>505</v>
      </c>
      <c r="T19" s="106">
        <v>463</v>
      </c>
      <c r="U19" s="106">
        <v>516</v>
      </c>
      <c r="V19" s="106">
        <v>548</v>
      </c>
      <c r="W19" s="106">
        <v>538</v>
      </c>
      <c r="X19" s="106">
        <v>521</v>
      </c>
      <c r="Y19" s="106">
        <v>608</v>
      </c>
      <c r="Z19" s="106">
        <v>508</v>
      </c>
      <c r="AA19" s="106">
        <v>596</v>
      </c>
      <c r="AB19" s="106">
        <v>649</v>
      </c>
      <c r="AC19" s="106">
        <v>586</v>
      </c>
      <c r="AD19" s="106">
        <v>674</v>
      </c>
      <c r="AE19" s="106">
        <v>603</v>
      </c>
      <c r="AF19" s="106">
        <v>687</v>
      </c>
      <c r="AG19" s="106">
        <v>638</v>
      </c>
      <c r="AH19" s="106">
        <v>619</v>
      </c>
      <c r="AI19" s="106">
        <v>713</v>
      </c>
    </row>
    <row r="20" spans="1:35" ht="12.75">
      <c r="A20" s="106">
        <v>17</v>
      </c>
      <c r="B20" s="82" t="s">
        <v>94</v>
      </c>
      <c r="C20" s="106">
        <v>15</v>
      </c>
      <c r="D20" s="106">
        <v>20</v>
      </c>
      <c r="E20" s="106">
        <v>18</v>
      </c>
      <c r="F20" s="106">
        <v>25</v>
      </c>
      <c r="G20" s="106">
        <v>27</v>
      </c>
      <c r="H20" s="106">
        <v>26</v>
      </c>
      <c r="I20" s="106">
        <v>24</v>
      </c>
      <c r="J20" s="106">
        <v>31</v>
      </c>
      <c r="K20" s="106">
        <v>32</v>
      </c>
      <c r="L20" s="106">
        <v>30</v>
      </c>
      <c r="M20" s="106">
        <v>38</v>
      </c>
      <c r="N20" s="106">
        <v>35</v>
      </c>
      <c r="O20" s="106">
        <v>42</v>
      </c>
      <c r="P20" s="106">
        <v>45</v>
      </c>
      <c r="Q20" s="106">
        <v>51</v>
      </c>
      <c r="R20" s="106">
        <v>46</v>
      </c>
      <c r="S20" s="106">
        <v>41</v>
      </c>
      <c r="T20" s="106">
        <v>49</v>
      </c>
      <c r="U20" s="106">
        <v>49</v>
      </c>
      <c r="V20" s="106">
        <v>54</v>
      </c>
      <c r="W20" s="106">
        <v>54</v>
      </c>
      <c r="X20" s="106">
        <v>58</v>
      </c>
      <c r="Y20" s="106">
        <v>49</v>
      </c>
      <c r="Z20" s="106">
        <v>52</v>
      </c>
      <c r="AA20" s="106">
        <v>56</v>
      </c>
      <c r="AB20" s="106">
        <v>66</v>
      </c>
      <c r="AC20" s="106">
        <v>53</v>
      </c>
      <c r="AD20" s="106">
        <v>68</v>
      </c>
      <c r="AE20" s="106">
        <v>63</v>
      </c>
      <c r="AF20" s="106">
        <v>68</v>
      </c>
      <c r="AG20" s="106">
        <v>69</v>
      </c>
      <c r="AH20" s="106">
        <v>75</v>
      </c>
      <c r="AI20" s="106">
        <v>78</v>
      </c>
    </row>
    <row r="21" spans="1:35" ht="12.75">
      <c r="A21" s="106">
        <v>18</v>
      </c>
      <c r="B21" s="82" t="s">
        <v>95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25</v>
      </c>
      <c r="L21" s="106">
        <v>64</v>
      </c>
      <c r="M21" s="106">
        <v>148</v>
      </c>
      <c r="N21" s="106">
        <v>174</v>
      </c>
      <c r="O21" s="106">
        <v>244</v>
      </c>
      <c r="P21" s="106">
        <v>246</v>
      </c>
      <c r="Q21" s="106">
        <v>260</v>
      </c>
      <c r="R21" s="106">
        <v>278</v>
      </c>
      <c r="S21" s="106">
        <v>298</v>
      </c>
      <c r="T21" s="106">
        <v>322</v>
      </c>
      <c r="U21" s="106">
        <v>342</v>
      </c>
      <c r="V21" s="106">
        <v>363</v>
      </c>
      <c r="W21" s="106">
        <v>378</v>
      </c>
      <c r="X21" s="106">
        <v>372</v>
      </c>
      <c r="Y21" s="106">
        <v>429</v>
      </c>
      <c r="Z21" s="106">
        <v>396</v>
      </c>
      <c r="AA21" s="106">
        <v>442</v>
      </c>
      <c r="AB21" s="106">
        <v>466</v>
      </c>
      <c r="AC21" s="106">
        <v>428</v>
      </c>
      <c r="AD21" s="106">
        <v>470</v>
      </c>
      <c r="AE21" s="106">
        <v>424</v>
      </c>
      <c r="AF21" s="106">
        <v>464</v>
      </c>
      <c r="AG21" s="106">
        <v>440</v>
      </c>
      <c r="AH21" s="106">
        <v>417</v>
      </c>
      <c r="AI21" s="106">
        <v>483</v>
      </c>
    </row>
    <row r="22" spans="1:35" ht="12.75">
      <c r="A22" s="106">
        <v>19</v>
      </c>
      <c r="B22" s="82" t="s">
        <v>96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8</v>
      </c>
      <c r="X22" s="106">
        <v>31</v>
      </c>
      <c r="Y22" s="106">
        <v>74</v>
      </c>
      <c r="Z22" s="106">
        <v>84</v>
      </c>
      <c r="AA22" s="106">
        <v>155</v>
      </c>
      <c r="AB22" s="106">
        <v>158</v>
      </c>
      <c r="AC22" s="106">
        <v>154</v>
      </c>
      <c r="AD22" s="106">
        <v>182</v>
      </c>
      <c r="AE22" s="106">
        <v>199</v>
      </c>
      <c r="AF22" s="106">
        <v>202</v>
      </c>
      <c r="AG22" s="106">
        <v>192</v>
      </c>
      <c r="AH22" s="106">
        <v>209</v>
      </c>
      <c r="AI22" s="106">
        <v>253</v>
      </c>
    </row>
    <row r="23" spans="1:35" ht="12.75">
      <c r="A23" s="106">
        <v>20</v>
      </c>
      <c r="B23" s="82" t="s">
        <v>97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10</v>
      </c>
      <c r="Y23" s="106">
        <v>32</v>
      </c>
      <c r="Z23" s="106">
        <v>30</v>
      </c>
      <c r="AA23" s="106">
        <v>57</v>
      </c>
      <c r="AB23" s="106">
        <v>60</v>
      </c>
      <c r="AC23" s="106">
        <v>60</v>
      </c>
      <c r="AD23" s="106">
        <v>71</v>
      </c>
      <c r="AE23" s="106">
        <v>66</v>
      </c>
      <c r="AF23" s="106">
        <v>74</v>
      </c>
      <c r="AG23" s="106">
        <v>91</v>
      </c>
      <c r="AH23" s="106">
        <v>95</v>
      </c>
      <c r="AI23" s="106">
        <v>101</v>
      </c>
    </row>
    <row r="24" spans="1:35" ht="12.75">
      <c r="A24" s="106">
        <v>21</v>
      </c>
      <c r="B24" s="82" t="s">
        <v>98</v>
      </c>
      <c r="C24" s="106">
        <v>39</v>
      </c>
      <c r="D24" s="106">
        <v>29</v>
      </c>
      <c r="E24" s="106">
        <v>35</v>
      </c>
      <c r="F24" s="106">
        <v>31</v>
      </c>
      <c r="G24" s="106">
        <v>29</v>
      </c>
      <c r="H24" s="106">
        <v>27</v>
      </c>
      <c r="I24" s="106">
        <v>25</v>
      </c>
      <c r="J24" s="106">
        <v>33</v>
      </c>
      <c r="K24" s="106">
        <v>24</v>
      </c>
      <c r="L24" s="106">
        <v>26</v>
      </c>
      <c r="M24" s="106">
        <v>36</v>
      </c>
      <c r="N24" s="106">
        <v>30</v>
      </c>
      <c r="O24" s="106">
        <v>28</v>
      </c>
      <c r="P24" s="106">
        <v>29</v>
      </c>
      <c r="Q24" s="106">
        <v>31</v>
      </c>
      <c r="R24" s="106">
        <v>35</v>
      </c>
      <c r="S24" s="106">
        <v>26</v>
      </c>
      <c r="T24" s="106">
        <v>37</v>
      </c>
      <c r="U24" s="106">
        <v>31</v>
      </c>
      <c r="V24" s="106">
        <v>34</v>
      </c>
      <c r="W24" s="106">
        <v>37</v>
      </c>
      <c r="X24" s="106">
        <v>26</v>
      </c>
      <c r="Y24" s="106">
        <v>36</v>
      </c>
      <c r="Z24" s="106">
        <v>30</v>
      </c>
      <c r="AA24" s="106">
        <v>29</v>
      </c>
      <c r="AB24" s="106">
        <v>38</v>
      </c>
      <c r="AC24" s="106">
        <v>28</v>
      </c>
      <c r="AD24" s="106">
        <v>35</v>
      </c>
      <c r="AE24" s="106">
        <v>30</v>
      </c>
      <c r="AF24" s="106">
        <v>36</v>
      </c>
      <c r="AG24" s="106">
        <v>37</v>
      </c>
      <c r="AH24" s="106">
        <v>33</v>
      </c>
      <c r="AI24" s="106">
        <v>40</v>
      </c>
    </row>
    <row r="25" spans="1:35" ht="25.5">
      <c r="A25" s="106">
        <v>22</v>
      </c>
      <c r="B25" s="82" t="s">
        <v>99</v>
      </c>
      <c r="C25" s="106">
        <v>165</v>
      </c>
      <c r="D25" s="106">
        <v>220</v>
      </c>
      <c r="E25" s="106">
        <v>225</v>
      </c>
      <c r="F25" s="106">
        <v>188</v>
      </c>
      <c r="G25" s="106">
        <v>205</v>
      </c>
      <c r="H25" s="106">
        <v>164</v>
      </c>
      <c r="I25" s="106">
        <v>211</v>
      </c>
      <c r="J25" s="106">
        <v>209</v>
      </c>
      <c r="K25" s="106">
        <v>198</v>
      </c>
      <c r="L25" s="106">
        <v>196</v>
      </c>
      <c r="M25" s="106">
        <v>211</v>
      </c>
      <c r="N25" s="106">
        <v>186</v>
      </c>
      <c r="O25" s="106">
        <v>203</v>
      </c>
      <c r="P25" s="106">
        <v>187</v>
      </c>
      <c r="Q25" s="106">
        <v>187</v>
      </c>
      <c r="R25" s="106">
        <v>198</v>
      </c>
      <c r="S25" s="106">
        <v>192</v>
      </c>
      <c r="T25" s="106">
        <v>196</v>
      </c>
      <c r="U25" s="106">
        <v>214</v>
      </c>
      <c r="V25" s="106">
        <v>203</v>
      </c>
      <c r="W25" s="106">
        <v>204</v>
      </c>
      <c r="X25" s="106">
        <v>182</v>
      </c>
      <c r="Y25" s="106">
        <v>211</v>
      </c>
      <c r="Z25" s="106">
        <v>163</v>
      </c>
      <c r="AA25" s="106">
        <v>191</v>
      </c>
      <c r="AB25" s="106">
        <v>185</v>
      </c>
      <c r="AC25" s="106">
        <v>180</v>
      </c>
      <c r="AD25" s="106">
        <v>181</v>
      </c>
      <c r="AE25" s="106">
        <v>172</v>
      </c>
      <c r="AF25" s="106">
        <v>187</v>
      </c>
      <c r="AG25" s="106">
        <v>171</v>
      </c>
      <c r="AH25" s="106">
        <v>150</v>
      </c>
      <c r="AI25" s="106">
        <v>183</v>
      </c>
    </row>
    <row r="26" spans="1:35" ht="25.5">
      <c r="A26" s="106">
        <v>23</v>
      </c>
      <c r="B26" s="82" t="s">
        <v>100</v>
      </c>
      <c r="C26" s="106">
        <v>66</v>
      </c>
      <c r="D26" s="106">
        <v>90</v>
      </c>
      <c r="E26" s="106">
        <v>87</v>
      </c>
      <c r="F26" s="106">
        <v>77</v>
      </c>
      <c r="G26" s="106">
        <v>80</v>
      </c>
      <c r="H26" s="106">
        <v>81</v>
      </c>
      <c r="I26" s="106">
        <v>82</v>
      </c>
      <c r="J26" s="106">
        <v>81</v>
      </c>
      <c r="K26" s="106">
        <v>77</v>
      </c>
      <c r="L26" s="106">
        <v>82</v>
      </c>
      <c r="M26" s="106">
        <v>97</v>
      </c>
      <c r="N26" s="106">
        <v>81</v>
      </c>
      <c r="O26" s="106">
        <v>94</v>
      </c>
      <c r="P26" s="106">
        <v>94</v>
      </c>
      <c r="Q26" s="106">
        <v>72</v>
      </c>
      <c r="R26" s="106">
        <v>83</v>
      </c>
      <c r="S26" s="106">
        <v>95</v>
      </c>
      <c r="T26" s="106">
        <v>87</v>
      </c>
      <c r="U26" s="106">
        <v>88</v>
      </c>
      <c r="V26" s="106">
        <v>102</v>
      </c>
      <c r="W26" s="106">
        <v>105</v>
      </c>
      <c r="X26" s="106">
        <v>87</v>
      </c>
      <c r="Y26" s="106">
        <v>95</v>
      </c>
      <c r="Z26" s="106">
        <v>84</v>
      </c>
      <c r="AA26" s="106">
        <v>90</v>
      </c>
      <c r="AB26" s="106">
        <v>89</v>
      </c>
      <c r="AC26" s="106">
        <v>95</v>
      </c>
      <c r="AD26" s="106">
        <v>98</v>
      </c>
      <c r="AE26" s="106">
        <v>85</v>
      </c>
      <c r="AF26" s="106">
        <v>107</v>
      </c>
      <c r="AG26" s="106">
        <v>76</v>
      </c>
      <c r="AH26" s="106">
        <v>100</v>
      </c>
      <c r="AI26" s="106">
        <v>92</v>
      </c>
    </row>
    <row r="27" spans="1:35" ht="25.5">
      <c r="A27" s="106">
        <v>24</v>
      </c>
      <c r="B27" s="82" t="s">
        <v>101</v>
      </c>
      <c r="C27" s="106">
        <v>35</v>
      </c>
      <c r="D27" s="106">
        <v>44</v>
      </c>
      <c r="E27" s="106">
        <v>36</v>
      </c>
      <c r="F27" s="106">
        <v>33</v>
      </c>
      <c r="G27" s="106">
        <v>34</v>
      </c>
      <c r="H27" s="106">
        <v>28</v>
      </c>
      <c r="I27" s="106">
        <v>29</v>
      </c>
      <c r="J27" s="106">
        <v>27</v>
      </c>
      <c r="K27" s="106">
        <v>34</v>
      </c>
      <c r="L27" s="106">
        <v>25</v>
      </c>
      <c r="M27" s="106">
        <v>33</v>
      </c>
      <c r="N27" s="106">
        <v>31</v>
      </c>
      <c r="O27" s="106">
        <v>30</v>
      </c>
      <c r="P27" s="106">
        <v>26</v>
      </c>
      <c r="Q27" s="106">
        <v>26</v>
      </c>
      <c r="R27" s="106">
        <v>28</v>
      </c>
      <c r="S27" s="106">
        <v>25</v>
      </c>
      <c r="T27" s="106">
        <v>31</v>
      </c>
      <c r="U27" s="106">
        <v>29</v>
      </c>
      <c r="V27" s="106">
        <v>33</v>
      </c>
      <c r="W27" s="106">
        <v>31</v>
      </c>
      <c r="X27" s="106">
        <v>27</v>
      </c>
      <c r="Y27" s="106">
        <v>29</v>
      </c>
      <c r="Z27" s="106">
        <v>19</v>
      </c>
      <c r="AA27" s="106">
        <v>28</v>
      </c>
      <c r="AB27" s="106">
        <v>25</v>
      </c>
      <c r="AC27" s="106">
        <v>28</v>
      </c>
      <c r="AD27" s="106">
        <v>30</v>
      </c>
      <c r="AE27" s="106">
        <v>24</v>
      </c>
      <c r="AF27" s="106">
        <v>32</v>
      </c>
      <c r="AG27" s="106">
        <v>33</v>
      </c>
      <c r="AH27" s="106">
        <v>35</v>
      </c>
      <c r="AI27" s="106">
        <v>30</v>
      </c>
    </row>
    <row r="28" spans="1:35" ht="25.5">
      <c r="A28" s="106">
        <v>25</v>
      </c>
      <c r="B28" s="82" t="s">
        <v>102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99</v>
      </c>
      <c r="Z28" s="106">
        <v>245</v>
      </c>
      <c r="AA28" s="106">
        <v>429</v>
      </c>
      <c r="AB28" s="106">
        <v>588</v>
      </c>
      <c r="AC28" s="106">
        <v>651</v>
      </c>
      <c r="AD28" s="106">
        <v>731</v>
      </c>
      <c r="AE28" s="106">
        <v>747</v>
      </c>
      <c r="AF28" s="106">
        <v>832</v>
      </c>
      <c r="AG28" s="106">
        <v>843</v>
      </c>
      <c r="AH28" s="106">
        <v>805</v>
      </c>
      <c r="AI28" s="106">
        <v>961</v>
      </c>
    </row>
    <row r="29" spans="1:35" ht="25.5">
      <c r="A29" s="106">
        <v>26</v>
      </c>
      <c r="B29" s="82" t="s">
        <v>103</v>
      </c>
      <c r="C29" s="106">
        <v>1232</v>
      </c>
      <c r="D29" s="106">
        <v>1518</v>
      </c>
      <c r="E29" s="106">
        <v>1431</v>
      </c>
      <c r="F29" s="106">
        <v>1369</v>
      </c>
      <c r="G29" s="106">
        <v>1407</v>
      </c>
      <c r="H29" s="106">
        <v>1391</v>
      </c>
      <c r="I29" s="106">
        <v>1494</v>
      </c>
      <c r="J29" s="106">
        <v>1571</v>
      </c>
      <c r="K29" s="106">
        <v>1505</v>
      </c>
      <c r="L29" s="106">
        <v>1436</v>
      </c>
      <c r="M29" s="106">
        <v>1651</v>
      </c>
      <c r="N29" s="106">
        <v>1565</v>
      </c>
      <c r="O29" s="106">
        <v>1617</v>
      </c>
      <c r="P29" s="106">
        <v>1605</v>
      </c>
      <c r="Q29" s="106">
        <v>1514</v>
      </c>
      <c r="R29" s="106">
        <v>1648</v>
      </c>
      <c r="S29" s="106">
        <v>1592</v>
      </c>
      <c r="T29" s="106">
        <v>1576</v>
      </c>
      <c r="U29" s="106">
        <v>1622</v>
      </c>
      <c r="V29" s="106">
        <v>1669</v>
      </c>
      <c r="W29" s="106">
        <v>1581</v>
      </c>
      <c r="X29" s="106">
        <v>1517</v>
      </c>
      <c r="Y29" s="106">
        <v>1612</v>
      </c>
      <c r="Z29" s="106">
        <v>1256</v>
      </c>
      <c r="AA29" s="106">
        <v>1230</v>
      </c>
      <c r="AB29" s="106">
        <v>1175</v>
      </c>
      <c r="AC29" s="106">
        <v>1001</v>
      </c>
      <c r="AD29" s="106">
        <v>1053</v>
      </c>
      <c r="AE29" s="106">
        <v>908</v>
      </c>
      <c r="AF29" s="106">
        <v>1012</v>
      </c>
      <c r="AG29" s="106">
        <v>900</v>
      </c>
      <c r="AH29" s="106">
        <v>877</v>
      </c>
      <c r="AI29" s="106">
        <v>980</v>
      </c>
    </row>
    <row r="30" spans="1:35" ht="25.5">
      <c r="A30" s="106">
        <v>27</v>
      </c>
      <c r="B30" s="82" t="s">
        <v>104</v>
      </c>
      <c r="C30" s="106">
        <v>740</v>
      </c>
      <c r="D30" s="106">
        <v>906</v>
      </c>
      <c r="E30" s="106">
        <v>849</v>
      </c>
      <c r="F30" s="106">
        <v>815</v>
      </c>
      <c r="G30" s="106">
        <v>825</v>
      </c>
      <c r="H30" s="106">
        <v>823</v>
      </c>
      <c r="I30" s="106">
        <v>839</v>
      </c>
      <c r="J30" s="106">
        <v>865</v>
      </c>
      <c r="K30" s="106">
        <v>803</v>
      </c>
      <c r="L30" s="106">
        <v>737</v>
      </c>
      <c r="M30" s="106">
        <v>850</v>
      </c>
      <c r="N30" s="106">
        <v>818</v>
      </c>
      <c r="O30" s="106">
        <v>853</v>
      </c>
      <c r="P30" s="106">
        <v>791</v>
      </c>
      <c r="Q30" s="106">
        <v>767</v>
      </c>
      <c r="R30" s="106">
        <v>797</v>
      </c>
      <c r="S30" s="106">
        <v>794</v>
      </c>
      <c r="T30" s="106">
        <v>754</v>
      </c>
      <c r="U30" s="106">
        <v>819</v>
      </c>
      <c r="V30" s="106">
        <v>801</v>
      </c>
      <c r="W30" s="106">
        <v>782</v>
      </c>
      <c r="X30" s="106">
        <v>747</v>
      </c>
      <c r="Y30" s="106">
        <v>809</v>
      </c>
      <c r="Z30" s="106">
        <v>705</v>
      </c>
      <c r="AA30" s="106">
        <v>754</v>
      </c>
      <c r="AB30" s="106">
        <v>742</v>
      </c>
      <c r="AC30" s="106">
        <v>674</v>
      </c>
      <c r="AD30" s="106">
        <v>691</v>
      </c>
      <c r="AE30" s="106">
        <v>639</v>
      </c>
      <c r="AF30" s="106">
        <v>710</v>
      </c>
      <c r="AG30" s="106">
        <v>650</v>
      </c>
      <c r="AH30" s="106">
        <v>631</v>
      </c>
      <c r="AI30" s="106">
        <v>725</v>
      </c>
    </row>
    <row r="31" spans="1:35" ht="25.5">
      <c r="A31" s="106">
        <v>28</v>
      </c>
      <c r="B31" s="82" t="s">
        <v>105</v>
      </c>
      <c r="C31" s="106">
        <v>322</v>
      </c>
      <c r="D31" s="106">
        <v>381</v>
      </c>
      <c r="E31" s="106">
        <v>349</v>
      </c>
      <c r="F31" s="106">
        <v>352</v>
      </c>
      <c r="G31" s="106">
        <v>362</v>
      </c>
      <c r="H31" s="106">
        <v>368</v>
      </c>
      <c r="I31" s="106">
        <v>359</v>
      </c>
      <c r="J31" s="106">
        <v>364</v>
      </c>
      <c r="K31" s="106">
        <v>338</v>
      </c>
      <c r="L31" s="106">
        <v>322</v>
      </c>
      <c r="M31" s="106">
        <v>381</v>
      </c>
      <c r="N31" s="106">
        <v>347</v>
      </c>
      <c r="O31" s="106">
        <v>354</v>
      </c>
      <c r="P31" s="106">
        <v>358</v>
      </c>
      <c r="Q31" s="106">
        <v>329</v>
      </c>
      <c r="R31" s="106">
        <v>340</v>
      </c>
      <c r="S31" s="106">
        <v>338</v>
      </c>
      <c r="T31" s="106">
        <v>337</v>
      </c>
      <c r="U31" s="106">
        <v>347</v>
      </c>
      <c r="V31" s="106">
        <v>343</v>
      </c>
      <c r="W31" s="106">
        <v>355</v>
      </c>
      <c r="X31" s="106">
        <v>291</v>
      </c>
      <c r="Y31" s="106">
        <v>356</v>
      </c>
      <c r="Z31" s="106">
        <v>284</v>
      </c>
      <c r="AA31" s="106">
        <v>331</v>
      </c>
      <c r="AB31" s="106">
        <v>342</v>
      </c>
      <c r="AC31" s="106">
        <v>305</v>
      </c>
      <c r="AD31" s="106">
        <v>325</v>
      </c>
      <c r="AE31" s="106">
        <v>294</v>
      </c>
      <c r="AF31" s="106">
        <v>330</v>
      </c>
      <c r="AG31" s="106">
        <v>292</v>
      </c>
      <c r="AH31" s="106">
        <v>297</v>
      </c>
      <c r="AI31" s="106">
        <v>324</v>
      </c>
    </row>
    <row r="32" spans="1:35" ht="12.75">
      <c r="A32" s="106">
        <v>29</v>
      </c>
      <c r="B32" s="82" t="s">
        <v>108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</v>
      </c>
    </row>
    <row r="34" spans="1:35" s="70" customFormat="1" ht="13.5" thickBot="1">
      <c r="A34" s="94" t="s">
        <v>113</v>
      </c>
      <c r="B34" s="94" t="s">
        <v>112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78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6</v>
      </c>
      <c r="W35" s="104">
        <f>VLOOKUP(1,$A$4:$AZ$32,23,FALSE)</f>
        <v>5</v>
      </c>
      <c r="X35" s="104">
        <f>VLOOKUP(1,$A$4:$AZ$32,24,FALSE)</f>
        <v>13</v>
      </c>
      <c r="Y35" s="104">
        <f>VLOOKUP(1,$A$4:$AZ$32,25,FALSE)</f>
        <v>19</v>
      </c>
      <c r="Z35" s="104">
        <f>VLOOKUP(1,$A$4:$AZ$32,26,FALSE)</f>
        <v>15</v>
      </c>
      <c r="AA35" s="104">
        <f>VLOOKUP(1,$A$4:$AZ$32,27,FALSE)</f>
        <v>27</v>
      </c>
      <c r="AB35" s="104">
        <f>VLOOKUP(1,$A$4:$AZ$32,28,FALSE)</f>
        <v>30</v>
      </c>
      <c r="AC35" s="104">
        <f>VLOOKUP(1,$A$4:$AZ$32,29,FALSE)</f>
        <v>33</v>
      </c>
      <c r="AD35" s="104">
        <f>VLOOKUP(1,$A$4:$AZ$32,30,FALSE)</f>
        <v>31</v>
      </c>
      <c r="AE35" s="104">
        <f>VLOOKUP(1,$A$4:$AZ$32,31,FALSE)</f>
        <v>36</v>
      </c>
      <c r="AF35" s="104">
        <f>VLOOKUP(1,$A$4:$AZ$32,32,FALSE)</f>
        <v>35</v>
      </c>
      <c r="AG35" s="104">
        <f>VLOOKUP(1,$A$4:$AZ$32,33,FALSE)</f>
        <v>45</v>
      </c>
      <c r="AH35" s="104">
        <f>VLOOKUP(1,$A$4:$AZ$32,34,FALSE)</f>
        <v>17</v>
      </c>
      <c r="AI35" s="104">
        <f>VLOOKUP(1,$A$4:$AZ$32,35,FALSE)</f>
        <v>46</v>
      </c>
    </row>
    <row r="36" spans="1:35" ht="25.5">
      <c r="A36">
        <v>2</v>
      </c>
      <c r="B36" s="78" t="s">
        <v>79</v>
      </c>
      <c r="C36" s="104">
        <f>VLOOKUP(2,$A$4:$AZ$32,3,FALSE)</f>
        <v>1203</v>
      </c>
      <c r="D36" s="104">
        <f>VLOOKUP(2,$A$4:$AZ$32,4,FALSE)</f>
        <v>1580</v>
      </c>
      <c r="E36" s="104">
        <f>VLOOKUP(2,$A$4:$AZ$32,5,FALSE)</f>
        <v>1388</v>
      </c>
      <c r="F36" s="104">
        <f>VLOOKUP(2,$A$4:$AZ$32,6,FALSE)</f>
        <v>1437</v>
      </c>
      <c r="G36" s="104">
        <f>VLOOKUP(2,$A$4:$AZ$32,7,FALSE)</f>
        <v>1385</v>
      </c>
      <c r="H36" s="104">
        <f>VLOOKUP(2,$A$4:$AZ$32,8,FALSE)</f>
        <v>1399</v>
      </c>
      <c r="I36" s="104">
        <f>VLOOKUP(2,$A$4:$AZ$32,9,FALSE)</f>
        <v>1444</v>
      </c>
      <c r="J36" s="104">
        <f>VLOOKUP(2,$A$4:$AZ$32,10,FALSE)</f>
        <v>1472</v>
      </c>
      <c r="K36" s="104">
        <f>VLOOKUP(2,$A$4:$AZ$32,11,FALSE)</f>
        <v>1401</v>
      </c>
      <c r="L36" s="104">
        <f>VLOOKUP(2,$A$4:$AZ$32,12,FALSE)</f>
        <v>1250</v>
      </c>
      <c r="M36" s="104">
        <f>VLOOKUP(2,$A$4:$AZ$32,13,FALSE)</f>
        <v>1523</v>
      </c>
      <c r="N36" s="104">
        <f>VLOOKUP(2,$A$4:$AZ$32,14,FALSE)</f>
        <v>1402</v>
      </c>
      <c r="O36" s="104">
        <f>VLOOKUP(2,$A$4:$AZ$32,15,FALSE)</f>
        <v>1491</v>
      </c>
      <c r="P36" s="104">
        <f>VLOOKUP(2,$A$4:$AZ$32,16,FALSE)</f>
        <v>1423</v>
      </c>
      <c r="Q36" s="104">
        <f>VLOOKUP(2,$A$4:$AZ$32,17,FALSE)</f>
        <v>1391</v>
      </c>
      <c r="R36" s="104">
        <f>VLOOKUP(2,$A$4:$AZ$32,18,FALSE)</f>
        <v>1555</v>
      </c>
      <c r="S36" s="104">
        <f>VLOOKUP(2,$A$4:$AZ$32,19,FALSE)</f>
        <v>1576</v>
      </c>
      <c r="T36" s="104">
        <f>VLOOKUP(2,$A$4:$AZ$32,20,FALSE)</f>
        <v>1617</v>
      </c>
      <c r="U36" s="104">
        <f>VLOOKUP(2,$A$4:$AZ$32,21,FALSE)</f>
        <v>1627</v>
      </c>
      <c r="V36" s="104">
        <f>VLOOKUP(2,$A$4:$AZ$32,22,FALSE)</f>
        <v>1702</v>
      </c>
      <c r="W36" s="104">
        <f>VLOOKUP(2,$A$4:$AZ$32,23,FALSE)</f>
        <v>1667</v>
      </c>
      <c r="X36" s="104">
        <f>VLOOKUP(2,$A$4:$AZ$32,24,FALSE)</f>
        <v>1566</v>
      </c>
      <c r="Y36" s="104">
        <f>VLOOKUP(2,$A$4:$AZ$32,25,FALSE)</f>
        <v>1777</v>
      </c>
      <c r="Z36" s="104">
        <f>VLOOKUP(2,$A$4:$AZ$32,26,FALSE)</f>
        <v>1574</v>
      </c>
      <c r="AA36" s="104">
        <f>VLOOKUP(2,$A$4:$AZ$32,27,FALSE)</f>
        <v>1780</v>
      </c>
      <c r="AB36" s="104">
        <f>VLOOKUP(2,$A$4:$AZ$32,28,FALSE)</f>
        <v>1735</v>
      </c>
      <c r="AC36" s="104">
        <f>VLOOKUP(2,$A$4:$AZ$32,29,FALSE)</f>
        <v>1666</v>
      </c>
      <c r="AD36" s="104">
        <f>VLOOKUP(2,$A$4:$AZ$32,30,FALSE)</f>
        <v>1724</v>
      </c>
      <c r="AE36" s="104">
        <f>VLOOKUP(2,$A$4:$AZ$32,31,FALSE)</f>
        <v>1709</v>
      </c>
      <c r="AF36" s="104">
        <f>VLOOKUP(2,$A$4:$AZ$32,32,FALSE)</f>
        <v>1878</v>
      </c>
      <c r="AG36" s="104">
        <f>VLOOKUP(2,$A$4:$AZ$32,33,FALSE)</f>
        <v>1769</v>
      </c>
      <c r="AH36" s="104">
        <f>VLOOKUP(2,$A$4:$AZ$32,34,FALSE)</f>
        <v>1741</v>
      </c>
      <c r="AI36" s="104">
        <f>VLOOKUP(2,$A$4:$AZ$32,35,FALSE)</f>
        <v>1992</v>
      </c>
    </row>
    <row r="37" spans="1:35" ht="25.5">
      <c r="A37">
        <v>3</v>
      </c>
      <c r="B37" s="78" t="s">
        <v>80</v>
      </c>
      <c r="C37" s="104">
        <f>VLOOKUP(3,$A$4:$AZ$32,3,FALSE)</f>
        <v>192</v>
      </c>
      <c r="D37" s="104">
        <f>VLOOKUP(3,$A$4:$AZ$32,4,FALSE)</f>
        <v>253</v>
      </c>
      <c r="E37" s="104">
        <f>VLOOKUP(3,$A$4:$AZ$32,5,FALSE)</f>
        <v>213</v>
      </c>
      <c r="F37" s="104">
        <f>VLOOKUP(3,$A$4:$AZ$32,6,FALSE)</f>
        <v>221</v>
      </c>
      <c r="G37" s="104">
        <f>VLOOKUP(3,$A$4:$AZ$32,7,FALSE)</f>
        <v>228</v>
      </c>
      <c r="H37" s="104">
        <f>VLOOKUP(3,$A$4:$AZ$32,8,FALSE)</f>
        <v>207</v>
      </c>
      <c r="I37" s="104">
        <f>VLOOKUP(3,$A$4:$AZ$32,9,FALSE)</f>
        <v>239</v>
      </c>
      <c r="J37" s="104">
        <f>VLOOKUP(3,$A$4:$AZ$32,10,FALSE)</f>
        <v>261</v>
      </c>
      <c r="K37" s="104">
        <f>VLOOKUP(3,$A$4:$AZ$32,11,FALSE)</f>
        <v>251</v>
      </c>
      <c r="L37" s="104">
        <f>VLOOKUP(3,$A$4:$AZ$32,12,FALSE)</f>
        <v>239</v>
      </c>
      <c r="M37" s="104">
        <f>VLOOKUP(3,$A$4:$AZ$32,13,FALSE)</f>
        <v>264</v>
      </c>
      <c r="N37" s="104">
        <f>VLOOKUP(3,$A$4:$AZ$32,14,FALSE)</f>
        <v>256</v>
      </c>
      <c r="O37" s="104">
        <f>VLOOKUP(3,$A$4:$AZ$32,15,FALSE)</f>
        <v>274</v>
      </c>
      <c r="P37" s="104">
        <f>VLOOKUP(3,$A$4:$AZ$32,16,FALSE)</f>
        <v>285</v>
      </c>
      <c r="Q37" s="104">
        <f>VLOOKUP(3,$A$4:$AZ$32,17,FALSE)</f>
        <v>267</v>
      </c>
      <c r="R37" s="104">
        <f>VLOOKUP(3,$A$4:$AZ$32,18,FALSE)</f>
        <v>294</v>
      </c>
      <c r="S37" s="104">
        <f>VLOOKUP(3,$A$4:$AZ$32,19,FALSE)</f>
        <v>288</v>
      </c>
      <c r="T37" s="104">
        <f>VLOOKUP(3,$A$4:$AZ$32,20,FALSE)</f>
        <v>296</v>
      </c>
      <c r="U37" s="104">
        <f>VLOOKUP(3,$A$4:$AZ$32,21,FALSE)</f>
        <v>321</v>
      </c>
      <c r="V37" s="104">
        <f>VLOOKUP(3,$A$4:$AZ$32,22,FALSE)</f>
        <v>346</v>
      </c>
      <c r="W37" s="104">
        <f>VLOOKUP(3,$A$4:$AZ$32,23,FALSE)</f>
        <v>321</v>
      </c>
      <c r="X37" s="104">
        <f>VLOOKUP(3,$A$4:$AZ$32,24,FALSE)</f>
        <v>301</v>
      </c>
      <c r="Y37" s="104">
        <f>VLOOKUP(3,$A$4:$AZ$32,25,FALSE)</f>
        <v>332</v>
      </c>
      <c r="Z37" s="104">
        <f>VLOOKUP(3,$A$4:$AZ$32,26,FALSE)</f>
        <v>294</v>
      </c>
      <c r="AA37" s="104">
        <f>VLOOKUP(3,$A$4:$AZ$32,27,FALSE)</f>
        <v>350</v>
      </c>
      <c r="AB37" s="104">
        <f>VLOOKUP(3,$A$4:$AZ$32,28,FALSE)</f>
        <v>332</v>
      </c>
      <c r="AC37" s="104">
        <f>VLOOKUP(3,$A$4:$AZ$32,29,FALSE)</f>
        <v>302</v>
      </c>
      <c r="AD37" s="104">
        <f>VLOOKUP(3,$A$4:$AZ$32,30,FALSE)</f>
        <v>328</v>
      </c>
      <c r="AE37" s="104">
        <f>VLOOKUP(3,$A$4:$AZ$32,31,FALSE)</f>
        <v>299</v>
      </c>
      <c r="AF37" s="104">
        <f>VLOOKUP(3,$A$4:$AZ$32,32,FALSE)</f>
        <v>349</v>
      </c>
      <c r="AG37" s="104">
        <f>VLOOKUP(3,$A$4:$AZ$32,33,FALSE)</f>
        <v>323</v>
      </c>
      <c r="AH37" s="104">
        <f>VLOOKUP(3,$A$4:$AZ$32,34,FALSE)</f>
        <v>302</v>
      </c>
      <c r="AI37" s="104">
        <f>VLOOKUP(3,$A$4:$AZ$32,35,FALSE)</f>
        <v>326</v>
      </c>
    </row>
    <row r="38" spans="1:35" ht="25.5">
      <c r="A38">
        <v>4</v>
      </c>
      <c r="B38" s="78" t="s">
        <v>81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7</v>
      </c>
      <c r="AF38" s="104">
        <f>VLOOKUP(4,$A$4:$AZ$32,32,FALSE)</f>
        <v>6</v>
      </c>
      <c r="AG38" s="104">
        <f>VLOOKUP(4,$A$4:$AZ$32,33,FALSE)</f>
        <v>21</v>
      </c>
      <c r="AH38" s="104">
        <f>VLOOKUP(4,$A$4:$AZ$32,34,FALSE)</f>
        <v>17</v>
      </c>
      <c r="AI38" s="104">
        <f>VLOOKUP(4,$A$4:$AZ$32,35,FALSE)</f>
        <v>30</v>
      </c>
    </row>
    <row r="39" spans="1:35" ht="25.5">
      <c r="A39">
        <v>5</v>
      </c>
      <c r="B39" s="78" t="s">
        <v>82</v>
      </c>
      <c r="C39" s="104">
        <f>VLOOKUP(5,$A$4:$AZ$32,3,FALSE)</f>
        <v>2204</v>
      </c>
      <c r="D39" s="104">
        <f>VLOOKUP(5,$A$4:$AZ$32,4,FALSE)</f>
        <v>2750</v>
      </c>
      <c r="E39" s="104">
        <f>VLOOKUP(5,$A$4:$AZ$32,5,FALSE)</f>
        <v>2489</v>
      </c>
      <c r="F39" s="104">
        <f>VLOOKUP(5,$A$4:$AZ$32,6,FALSE)</f>
        <v>2519</v>
      </c>
      <c r="G39" s="104">
        <f>VLOOKUP(5,$A$4:$AZ$32,7,FALSE)</f>
        <v>2563</v>
      </c>
      <c r="H39" s="104">
        <f>VLOOKUP(5,$A$4:$AZ$32,8,FALSE)</f>
        <v>2611</v>
      </c>
      <c r="I39" s="104">
        <f>VLOOKUP(5,$A$4:$AZ$32,9,FALSE)</f>
        <v>2657</v>
      </c>
      <c r="J39" s="104">
        <f>VLOOKUP(5,$A$4:$AZ$32,10,FALSE)</f>
        <v>2699</v>
      </c>
      <c r="K39" s="104">
        <f>VLOOKUP(5,$A$4:$AZ$32,11,FALSE)</f>
        <v>2711</v>
      </c>
      <c r="L39" s="104">
        <f>VLOOKUP(5,$A$4:$AZ$32,12,FALSE)</f>
        <v>2434</v>
      </c>
      <c r="M39" s="104">
        <f>VLOOKUP(5,$A$4:$AZ$32,13,FALSE)</f>
        <v>2959</v>
      </c>
      <c r="N39" s="104">
        <f>VLOOKUP(5,$A$4:$AZ$32,14,FALSE)</f>
        <v>2782</v>
      </c>
      <c r="O39" s="104">
        <f>VLOOKUP(5,$A$4:$AZ$32,15,FALSE)</f>
        <v>2867</v>
      </c>
      <c r="P39" s="104">
        <f>VLOOKUP(5,$A$4:$AZ$32,16,FALSE)</f>
        <v>2702</v>
      </c>
      <c r="Q39" s="104">
        <f>VLOOKUP(5,$A$4:$AZ$32,17,FALSE)</f>
        <v>2577</v>
      </c>
      <c r="R39" s="104">
        <f>VLOOKUP(5,$A$4:$AZ$32,18,FALSE)</f>
        <v>2728</v>
      </c>
      <c r="S39" s="104">
        <f>VLOOKUP(5,$A$4:$AZ$32,19,FALSE)</f>
        <v>2720</v>
      </c>
      <c r="T39" s="104">
        <f>VLOOKUP(5,$A$4:$AZ$32,20,FALSE)</f>
        <v>2587</v>
      </c>
      <c r="U39" s="104">
        <f>VLOOKUP(5,$A$4:$AZ$32,21,FALSE)</f>
        <v>2694</v>
      </c>
      <c r="V39" s="104">
        <f>VLOOKUP(5,$A$4:$AZ$32,22,FALSE)</f>
        <v>2725</v>
      </c>
      <c r="W39" s="104">
        <f>VLOOKUP(5,$A$4:$AZ$32,23,FALSE)</f>
        <v>2630</v>
      </c>
      <c r="X39" s="104">
        <f>VLOOKUP(5,$A$4:$AZ$32,24,FALSE)</f>
        <v>2509</v>
      </c>
      <c r="Y39" s="104">
        <f>VLOOKUP(5,$A$4:$AZ$32,25,FALSE)</f>
        <v>2715</v>
      </c>
      <c r="Z39" s="104">
        <f>VLOOKUP(5,$A$4:$AZ$32,26,FALSE)</f>
        <v>2400</v>
      </c>
      <c r="AA39" s="104">
        <f>VLOOKUP(5,$A$4:$AZ$32,27,FALSE)</f>
        <v>2659</v>
      </c>
      <c r="AB39" s="104">
        <f>VLOOKUP(5,$A$4:$AZ$32,28,FALSE)</f>
        <v>2638</v>
      </c>
      <c r="AC39" s="104">
        <f>VLOOKUP(5,$A$4:$AZ$32,29,FALSE)</f>
        <v>2401</v>
      </c>
      <c r="AD39" s="104">
        <f>VLOOKUP(5,$A$4:$AZ$32,30,FALSE)</f>
        <v>2568</v>
      </c>
      <c r="AE39" s="104">
        <f>VLOOKUP(5,$A$4:$AZ$32,31,FALSE)</f>
        <v>2466</v>
      </c>
      <c r="AF39" s="104">
        <f>VLOOKUP(5,$A$4:$AZ$32,32,FALSE)</f>
        <v>2653</v>
      </c>
      <c r="AG39" s="104">
        <f>VLOOKUP(5,$A$4:$AZ$32,33,FALSE)</f>
        <v>2525</v>
      </c>
      <c r="AH39" s="104">
        <f>VLOOKUP(5,$A$4:$AZ$32,34,FALSE)</f>
        <v>2391</v>
      </c>
      <c r="AI39" s="104">
        <f>VLOOKUP(5,$A$4:$AZ$32,35,FALSE)</f>
        <v>2716</v>
      </c>
    </row>
    <row r="40" spans="1:35" ht="25.5">
      <c r="A40">
        <v>6</v>
      </c>
      <c r="B40" s="78" t="s">
        <v>83</v>
      </c>
      <c r="C40" s="104">
        <f>VLOOKUP(6,$A$4:$AZ$32,3,FALSE)</f>
        <v>788</v>
      </c>
      <c r="D40" s="104">
        <f>VLOOKUP(6,$A$4:$AZ$32,4,FALSE)</f>
        <v>968</v>
      </c>
      <c r="E40" s="104">
        <f>VLOOKUP(6,$A$4:$AZ$32,5,FALSE)</f>
        <v>892</v>
      </c>
      <c r="F40" s="104">
        <f>VLOOKUP(6,$A$4:$AZ$32,6,FALSE)</f>
        <v>918</v>
      </c>
      <c r="G40" s="104">
        <f>VLOOKUP(6,$A$4:$AZ$32,7,FALSE)</f>
        <v>939</v>
      </c>
      <c r="H40" s="104">
        <f>VLOOKUP(6,$A$4:$AZ$32,8,FALSE)</f>
        <v>925</v>
      </c>
      <c r="I40" s="104">
        <f>VLOOKUP(6,$A$4:$AZ$32,9,FALSE)</f>
        <v>967</v>
      </c>
      <c r="J40" s="104">
        <f>VLOOKUP(6,$A$4:$AZ$32,10,FALSE)</f>
        <v>1019</v>
      </c>
      <c r="K40" s="104">
        <f>VLOOKUP(6,$A$4:$AZ$32,11,FALSE)</f>
        <v>999</v>
      </c>
      <c r="L40" s="104">
        <f>VLOOKUP(6,$A$4:$AZ$32,12,FALSE)</f>
        <v>928</v>
      </c>
      <c r="M40" s="104">
        <f>VLOOKUP(6,$A$4:$AZ$32,13,FALSE)</f>
        <v>1103</v>
      </c>
      <c r="N40" s="104">
        <f>VLOOKUP(6,$A$4:$AZ$32,14,FALSE)</f>
        <v>1064</v>
      </c>
      <c r="O40" s="104">
        <f>VLOOKUP(6,$A$4:$AZ$32,15,FALSE)</f>
        <v>1099</v>
      </c>
      <c r="P40" s="104">
        <f>VLOOKUP(6,$A$4:$AZ$32,16,FALSE)</f>
        <v>1079</v>
      </c>
      <c r="Q40" s="104">
        <f>VLOOKUP(6,$A$4:$AZ$32,17,FALSE)</f>
        <v>1000</v>
      </c>
      <c r="R40" s="104">
        <f>VLOOKUP(6,$A$4:$AZ$32,18,FALSE)</f>
        <v>1114</v>
      </c>
      <c r="S40" s="104">
        <f>VLOOKUP(6,$A$4:$AZ$32,19,FALSE)</f>
        <v>1089</v>
      </c>
      <c r="T40" s="104">
        <f>VLOOKUP(6,$A$4:$AZ$32,20,FALSE)</f>
        <v>1065</v>
      </c>
      <c r="U40" s="104">
        <f>VLOOKUP(6,$A$4:$AZ$32,21,FALSE)</f>
        <v>1082</v>
      </c>
      <c r="V40" s="104">
        <f>VLOOKUP(6,$A$4:$AZ$32,22,FALSE)</f>
        <v>1093</v>
      </c>
      <c r="W40" s="104">
        <f>VLOOKUP(6,$A$4:$AZ$32,23,FALSE)</f>
        <v>1083</v>
      </c>
      <c r="X40" s="104">
        <f>VLOOKUP(6,$A$4:$AZ$32,24,FALSE)</f>
        <v>997</v>
      </c>
      <c r="Y40" s="104">
        <f>VLOOKUP(6,$A$4:$AZ$32,25,FALSE)</f>
        <v>1107</v>
      </c>
      <c r="Z40" s="104">
        <f>VLOOKUP(6,$A$4:$AZ$32,26,FALSE)</f>
        <v>999</v>
      </c>
      <c r="AA40" s="104">
        <f>VLOOKUP(6,$A$4:$AZ$32,27,FALSE)</f>
        <v>1081</v>
      </c>
      <c r="AB40" s="104">
        <f>VLOOKUP(6,$A$4:$AZ$32,28,FALSE)</f>
        <v>1116</v>
      </c>
      <c r="AC40" s="104">
        <f>VLOOKUP(6,$A$4:$AZ$32,29,FALSE)</f>
        <v>974</v>
      </c>
      <c r="AD40" s="104">
        <f>VLOOKUP(6,$A$4:$AZ$32,30,FALSE)</f>
        <v>1102</v>
      </c>
      <c r="AE40" s="104">
        <f>VLOOKUP(6,$A$4:$AZ$32,31,FALSE)</f>
        <v>1013</v>
      </c>
      <c r="AF40" s="104">
        <f>VLOOKUP(6,$A$4:$AZ$32,32,FALSE)</f>
        <v>1084</v>
      </c>
      <c r="AG40" s="104">
        <f>VLOOKUP(6,$A$4:$AZ$32,33,FALSE)</f>
        <v>1003</v>
      </c>
      <c r="AH40" s="104">
        <f>VLOOKUP(6,$A$4:$AZ$32,34,FALSE)</f>
        <v>954</v>
      </c>
      <c r="AI40" s="104">
        <f>VLOOKUP(6,$A$4:$AZ$32,35,FALSE)</f>
        <v>1140</v>
      </c>
    </row>
    <row r="41" spans="1:35" ht="12.75">
      <c r="A41">
        <v>7</v>
      </c>
      <c r="B41" s="78" t="s">
        <v>84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10</v>
      </c>
      <c r="AC41" s="104">
        <f>VLOOKUP(7,$A$4:$AZ$32,29,FALSE)</f>
        <v>16</v>
      </c>
      <c r="AD41" s="104">
        <f>VLOOKUP(7,$A$4:$AZ$32,30,FALSE)</f>
        <v>23</v>
      </c>
      <c r="AE41" s="104">
        <f>VLOOKUP(7,$A$4:$AZ$32,31,FALSE)</f>
        <v>35</v>
      </c>
      <c r="AF41" s="104">
        <f>VLOOKUP(7,$A$4:$AZ$32,32,FALSE)</f>
        <v>63</v>
      </c>
      <c r="AG41" s="104">
        <f>VLOOKUP(7,$A$4:$AZ$32,33,FALSE)</f>
        <v>85</v>
      </c>
      <c r="AH41" s="104">
        <f>VLOOKUP(7,$A$4:$AZ$32,34,FALSE)</f>
        <v>101</v>
      </c>
      <c r="AI41" s="104">
        <f>VLOOKUP(7,$A$4:$AZ$32,35,FALSE)</f>
        <v>120</v>
      </c>
    </row>
    <row r="42" spans="1:35" ht="25.5">
      <c r="A42">
        <v>8</v>
      </c>
      <c r="B42" s="78" t="s">
        <v>85</v>
      </c>
      <c r="C42" s="104">
        <f>VLOOKUP(8,$A$4:$AZ$32,3,FALSE)</f>
        <v>129</v>
      </c>
      <c r="D42" s="104">
        <f>VLOOKUP(8,$A$4:$AZ$32,4,FALSE)</f>
        <v>163</v>
      </c>
      <c r="E42" s="104">
        <f>VLOOKUP(8,$A$4:$AZ$32,5,FALSE)</f>
        <v>148</v>
      </c>
      <c r="F42" s="104">
        <f>VLOOKUP(8,$A$4:$AZ$32,6,FALSE)</f>
        <v>149</v>
      </c>
      <c r="G42" s="104">
        <f>VLOOKUP(8,$A$4:$AZ$32,7,FALSE)</f>
        <v>145</v>
      </c>
      <c r="H42" s="104">
        <f>VLOOKUP(8,$A$4:$AZ$32,8,FALSE)</f>
        <v>141</v>
      </c>
      <c r="I42" s="104">
        <f>VLOOKUP(8,$A$4:$AZ$32,9,FALSE)</f>
        <v>150</v>
      </c>
      <c r="J42" s="104">
        <f>VLOOKUP(8,$A$4:$AZ$32,10,FALSE)</f>
        <v>155</v>
      </c>
      <c r="K42" s="104">
        <f>VLOOKUP(8,$A$4:$AZ$32,11,FALSE)</f>
        <v>136</v>
      </c>
      <c r="L42" s="104">
        <f>VLOOKUP(8,$A$4:$AZ$32,12,FALSE)</f>
        <v>141</v>
      </c>
      <c r="M42" s="104">
        <f>VLOOKUP(8,$A$4:$AZ$32,13,FALSE)</f>
        <v>164</v>
      </c>
      <c r="N42" s="104">
        <f>VLOOKUP(8,$A$4:$AZ$32,14,FALSE)</f>
        <v>137</v>
      </c>
      <c r="O42" s="104">
        <f>VLOOKUP(8,$A$4:$AZ$32,15,FALSE)</f>
        <v>152</v>
      </c>
      <c r="P42" s="104">
        <f>VLOOKUP(8,$A$4:$AZ$32,16,FALSE)</f>
        <v>150</v>
      </c>
      <c r="Q42" s="104">
        <f>VLOOKUP(8,$A$4:$AZ$32,17,FALSE)</f>
        <v>138</v>
      </c>
      <c r="R42" s="104">
        <f>VLOOKUP(8,$A$4:$AZ$32,18,FALSE)</f>
        <v>136</v>
      </c>
      <c r="S42" s="104">
        <f>VLOOKUP(8,$A$4:$AZ$32,19,FALSE)</f>
        <v>144</v>
      </c>
      <c r="T42" s="104">
        <f>VLOOKUP(8,$A$4:$AZ$32,20,FALSE)</f>
        <v>141</v>
      </c>
      <c r="U42" s="104">
        <f>VLOOKUP(8,$A$4:$AZ$32,21,FALSE)</f>
        <v>155</v>
      </c>
      <c r="V42" s="104">
        <f>VLOOKUP(8,$A$4:$AZ$32,22,FALSE)</f>
        <v>169</v>
      </c>
      <c r="W42" s="104">
        <f>VLOOKUP(8,$A$4:$AZ$32,23,FALSE)</f>
        <v>170</v>
      </c>
      <c r="X42" s="104">
        <f>VLOOKUP(8,$A$4:$AZ$32,24,FALSE)</f>
        <v>147</v>
      </c>
      <c r="Y42" s="104">
        <f>VLOOKUP(8,$A$4:$AZ$32,25,FALSE)</f>
        <v>171</v>
      </c>
      <c r="Z42" s="104">
        <f>VLOOKUP(8,$A$4:$AZ$32,26,FALSE)</f>
        <v>145</v>
      </c>
      <c r="AA42" s="104">
        <f>VLOOKUP(8,$A$4:$AZ$32,27,FALSE)</f>
        <v>169</v>
      </c>
      <c r="AB42" s="104">
        <f>VLOOKUP(8,$A$4:$AZ$32,28,FALSE)</f>
        <v>159</v>
      </c>
      <c r="AC42" s="104">
        <f>VLOOKUP(8,$A$4:$AZ$32,29,FALSE)</f>
        <v>157</v>
      </c>
      <c r="AD42" s="104">
        <f>VLOOKUP(8,$A$4:$AZ$32,30,FALSE)</f>
        <v>155</v>
      </c>
      <c r="AE42" s="104">
        <f>VLOOKUP(8,$A$4:$AZ$32,31,FALSE)</f>
        <v>143</v>
      </c>
      <c r="AF42" s="104">
        <f>VLOOKUP(8,$A$4:$AZ$32,32,FALSE)</f>
        <v>152</v>
      </c>
      <c r="AG42" s="104">
        <f>VLOOKUP(8,$A$4:$AZ$32,33,FALSE)</f>
        <v>138</v>
      </c>
      <c r="AH42" s="104">
        <f>VLOOKUP(8,$A$4:$AZ$32,34,FALSE)</f>
        <v>126</v>
      </c>
      <c r="AI42" s="104">
        <f>VLOOKUP(8,$A$4:$AZ$32,35,FALSE)</f>
        <v>159</v>
      </c>
    </row>
    <row r="43" spans="1:35" ht="25.5">
      <c r="A43">
        <v>9</v>
      </c>
      <c r="B43" s="78" t="s">
        <v>86</v>
      </c>
      <c r="C43" s="104">
        <f>VLOOKUP(9,$A$4:$AZ$32,3,FALSE)</f>
        <v>288</v>
      </c>
      <c r="D43" s="104">
        <f>VLOOKUP(9,$A$4:$AZ$32,4,FALSE)</f>
        <v>340</v>
      </c>
      <c r="E43" s="104">
        <f>VLOOKUP(9,$A$4:$AZ$32,5,FALSE)</f>
        <v>295</v>
      </c>
      <c r="F43" s="104">
        <f>VLOOKUP(9,$A$4:$AZ$32,6,FALSE)</f>
        <v>303</v>
      </c>
      <c r="G43" s="104">
        <f>VLOOKUP(9,$A$4:$AZ$32,7,FALSE)</f>
        <v>315</v>
      </c>
      <c r="H43" s="104">
        <f>VLOOKUP(9,$A$4:$AZ$32,8,FALSE)</f>
        <v>317</v>
      </c>
      <c r="I43" s="104">
        <f>VLOOKUP(9,$A$4:$AZ$32,9,FALSE)</f>
        <v>343</v>
      </c>
      <c r="J43" s="104">
        <f>VLOOKUP(9,$A$4:$AZ$32,10,FALSE)</f>
        <v>383</v>
      </c>
      <c r="K43" s="104">
        <f>VLOOKUP(9,$A$4:$AZ$32,11,FALSE)</f>
        <v>355</v>
      </c>
      <c r="L43" s="104">
        <f>VLOOKUP(9,$A$4:$AZ$32,12,FALSE)</f>
        <v>332</v>
      </c>
      <c r="M43" s="104">
        <f>VLOOKUP(9,$A$4:$AZ$32,13,FALSE)</f>
        <v>405</v>
      </c>
      <c r="N43" s="104">
        <f>VLOOKUP(9,$A$4:$AZ$32,14,FALSE)</f>
        <v>368</v>
      </c>
      <c r="O43" s="104">
        <f>VLOOKUP(9,$A$4:$AZ$32,15,FALSE)</f>
        <v>429</v>
      </c>
      <c r="P43" s="104">
        <f>VLOOKUP(9,$A$4:$AZ$32,16,FALSE)</f>
        <v>372</v>
      </c>
      <c r="Q43" s="104">
        <f>VLOOKUP(9,$A$4:$AZ$32,17,FALSE)</f>
        <v>343</v>
      </c>
      <c r="R43" s="104">
        <f>VLOOKUP(9,$A$4:$AZ$32,18,FALSE)</f>
        <v>402</v>
      </c>
      <c r="S43" s="104">
        <f>VLOOKUP(9,$A$4:$AZ$32,19,FALSE)</f>
        <v>363</v>
      </c>
      <c r="T43" s="104">
        <f>VLOOKUP(9,$A$4:$AZ$32,20,FALSE)</f>
        <v>356</v>
      </c>
      <c r="U43" s="104">
        <f>VLOOKUP(9,$A$4:$AZ$32,21,FALSE)</f>
        <v>358</v>
      </c>
      <c r="V43" s="104">
        <f>VLOOKUP(9,$A$4:$AZ$32,22,FALSE)</f>
        <v>333</v>
      </c>
      <c r="W43" s="104">
        <f>VLOOKUP(9,$A$4:$AZ$32,23,FALSE)</f>
        <v>336</v>
      </c>
      <c r="X43" s="104">
        <f>VLOOKUP(9,$A$4:$AZ$32,24,FALSE)</f>
        <v>348</v>
      </c>
      <c r="Y43" s="104">
        <f>VLOOKUP(9,$A$4:$AZ$32,25,FALSE)</f>
        <v>336</v>
      </c>
      <c r="Z43" s="104">
        <f>VLOOKUP(9,$A$4:$AZ$32,26,FALSE)</f>
        <v>309</v>
      </c>
      <c r="AA43" s="104">
        <f>VLOOKUP(9,$A$4:$AZ$32,27,FALSE)</f>
        <v>352</v>
      </c>
      <c r="AB43" s="104">
        <f>VLOOKUP(9,$A$4:$AZ$32,28,FALSE)</f>
        <v>320</v>
      </c>
      <c r="AC43" s="104">
        <f>VLOOKUP(9,$A$4:$AZ$32,29,FALSE)</f>
        <v>295</v>
      </c>
      <c r="AD43" s="104">
        <f>VLOOKUP(9,$A$4:$AZ$32,30,FALSE)</f>
        <v>322</v>
      </c>
      <c r="AE43" s="104">
        <f>VLOOKUP(9,$A$4:$AZ$32,31,FALSE)</f>
        <v>310</v>
      </c>
      <c r="AF43" s="104">
        <f>VLOOKUP(9,$A$4:$AZ$32,32,FALSE)</f>
        <v>323</v>
      </c>
      <c r="AG43" s="104">
        <f>VLOOKUP(9,$A$4:$AZ$32,33,FALSE)</f>
        <v>298</v>
      </c>
      <c r="AH43" s="104">
        <f>VLOOKUP(9,$A$4:$AZ$32,34,FALSE)</f>
        <v>285</v>
      </c>
      <c r="AI43" s="104">
        <f>VLOOKUP(9,$A$4:$AZ$32,35,FALSE)</f>
        <v>311</v>
      </c>
    </row>
    <row r="44" spans="1:35" ht="25.5">
      <c r="A44">
        <v>10</v>
      </c>
      <c r="B44" s="78" t="s">
        <v>87</v>
      </c>
      <c r="C44" s="104">
        <f>VLOOKUP(10,$A$4:$AZ$32,3,FALSE)</f>
        <v>247</v>
      </c>
      <c r="D44" s="104">
        <f>VLOOKUP(10,$A$4:$AZ$32,4,FALSE)</f>
        <v>317</v>
      </c>
      <c r="E44" s="104">
        <f>VLOOKUP(10,$A$4:$AZ$32,5,FALSE)</f>
        <v>271</v>
      </c>
      <c r="F44" s="104">
        <f>VLOOKUP(10,$A$4:$AZ$32,6,FALSE)</f>
        <v>291</v>
      </c>
      <c r="G44" s="104">
        <f>VLOOKUP(10,$A$4:$AZ$32,7,FALSE)</f>
        <v>302</v>
      </c>
      <c r="H44" s="104">
        <f>VLOOKUP(10,$A$4:$AZ$32,8,FALSE)</f>
        <v>302</v>
      </c>
      <c r="I44" s="104">
        <f>VLOOKUP(10,$A$4:$AZ$32,9,FALSE)</f>
        <v>313</v>
      </c>
      <c r="J44" s="104">
        <f>VLOOKUP(10,$A$4:$AZ$32,10,FALSE)</f>
        <v>320</v>
      </c>
      <c r="K44" s="104">
        <f>VLOOKUP(10,$A$4:$AZ$32,11,FALSE)</f>
        <v>304</v>
      </c>
      <c r="L44" s="104">
        <f>VLOOKUP(10,$A$4:$AZ$32,12,FALSE)</f>
        <v>276</v>
      </c>
      <c r="M44" s="104">
        <f>VLOOKUP(10,$A$4:$AZ$32,13,FALSE)</f>
        <v>358</v>
      </c>
      <c r="N44" s="104">
        <f>VLOOKUP(10,$A$4:$AZ$32,14,FALSE)</f>
        <v>307</v>
      </c>
      <c r="O44" s="104">
        <f>VLOOKUP(10,$A$4:$AZ$32,15,FALSE)</f>
        <v>353</v>
      </c>
      <c r="P44" s="104">
        <f>VLOOKUP(10,$A$4:$AZ$32,16,FALSE)</f>
        <v>329</v>
      </c>
      <c r="Q44" s="104">
        <f>VLOOKUP(10,$A$4:$AZ$32,17,FALSE)</f>
        <v>306</v>
      </c>
      <c r="R44" s="104">
        <f>VLOOKUP(10,$A$4:$AZ$32,18,FALSE)</f>
        <v>320</v>
      </c>
      <c r="S44" s="104">
        <f>VLOOKUP(10,$A$4:$AZ$32,19,FALSE)</f>
        <v>307</v>
      </c>
      <c r="T44" s="104">
        <f>VLOOKUP(10,$A$4:$AZ$32,20,FALSE)</f>
        <v>315</v>
      </c>
      <c r="U44" s="104">
        <f>VLOOKUP(10,$A$4:$AZ$32,21,FALSE)</f>
        <v>322</v>
      </c>
      <c r="V44" s="104">
        <f>VLOOKUP(10,$A$4:$AZ$32,22,FALSE)</f>
        <v>320</v>
      </c>
      <c r="W44" s="104">
        <f>VLOOKUP(10,$A$4:$AZ$32,23,FALSE)</f>
        <v>321</v>
      </c>
      <c r="X44" s="104">
        <f>VLOOKUP(10,$A$4:$AZ$32,24,FALSE)</f>
        <v>302</v>
      </c>
      <c r="Y44" s="104">
        <f>VLOOKUP(10,$A$4:$AZ$32,25,FALSE)</f>
        <v>323</v>
      </c>
      <c r="Z44" s="104">
        <f>VLOOKUP(10,$A$4:$AZ$32,26,FALSE)</f>
        <v>288</v>
      </c>
      <c r="AA44" s="104">
        <f>VLOOKUP(10,$A$4:$AZ$32,27,FALSE)</f>
        <v>314</v>
      </c>
      <c r="AB44" s="104">
        <f>VLOOKUP(10,$A$4:$AZ$32,28,FALSE)</f>
        <v>320</v>
      </c>
      <c r="AC44" s="104">
        <f>VLOOKUP(10,$A$4:$AZ$32,29,FALSE)</f>
        <v>286</v>
      </c>
      <c r="AD44" s="104">
        <f>VLOOKUP(10,$A$4:$AZ$32,30,FALSE)</f>
        <v>300</v>
      </c>
      <c r="AE44" s="104">
        <f>VLOOKUP(10,$A$4:$AZ$32,31,FALSE)</f>
        <v>262</v>
      </c>
      <c r="AF44" s="104">
        <f>VLOOKUP(10,$A$4:$AZ$32,32,FALSE)</f>
        <v>302</v>
      </c>
      <c r="AG44" s="104">
        <f>VLOOKUP(10,$A$4:$AZ$32,33,FALSE)</f>
        <v>273</v>
      </c>
      <c r="AH44" s="104">
        <f>VLOOKUP(10,$A$4:$AZ$32,34,FALSE)</f>
        <v>275</v>
      </c>
      <c r="AI44" s="104">
        <f>VLOOKUP(10,$A$4:$AZ$32,35,FALSE)</f>
        <v>286</v>
      </c>
    </row>
    <row r="45" spans="1:35" ht="12.75">
      <c r="A45">
        <v>11</v>
      </c>
      <c r="B45" s="78" t="s">
        <v>88</v>
      </c>
      <c r="C45" s="104">
        <f>VLOOKUP(11,$A$4:$AZ$32,3,FALSE)</f>
        <v>1229</v>
      </c>
      <c r="D45" s="104">
        <f>VLOOKUP(11,$A$4:$AZ$32,4,FALSE)</f>
        <v>1514</v>
      </c>
      <c r="E45" s="104">
        <f>VLOOKUP(11,$A$4:$AZ$32,5,FALSE)</f>
        <v>1394</v>
      </c>
      <c r="F45" s="104">
        <f>VLOOKUP(11,$A$4:$AZ$32,6,FALSE)</f>
        <v>1355</v>
      </c>
      <c r="G45" s="104">
        <f>VLOOKUP(11,$A$4:$AZ$32,7,FALSE)</f>
        <v>1391</v>
      </c>
      <c r="H45" s="104">
        <f>VLOOKUP(11,$A$4:$AZ$32,8,FALSE)</f>
        <v>1395</v>
      </c>
      <c r="I45" s="104">
        <f>VLOOKUP(11,$A$4:$AZ$32,9,FALSE)</f>
        <v>1500</v>
      </c>
      <c r="J45" s="104">
        <f>VLOOKUP(11,$A$4:$AZ$32,10,FALSE)</f>
        <v>1518</v>
      </c>
      <c r="K45" s="104">
        <f>VLOOKUP(11,$A$4:$AZ$32,11,FALSE)</f>
        <v>1501</v>
      </c>
      <c r="L45" s="104">
        <f>VLOOKUP(11,$A$4:$AZ$32,12,FALSE)</f>
        <v>1414</v>
      </c>
      <c r="M45" s="104">
        <f>VLOOKUP(11,$A$4:$AZ$32,13,FALSE)</f>
        <v>1717</v>
      </c>
      <c r="N45" s="104">
        <f>VLOOKUP(11,$A$4:$AZ$32,14,FALSE)</f>
        <v>1558</v>
      </c>
      <c r="O45" s="104">
        <f>VLOOKUP(11,$A$4:$AZ$32,15,FALSE)</f>
        <v>1706</v>
      </c>
      <c r="P45" s="104">
        <f>VLOOKUP(11,$A$4:$AZ$32,16,FALSE)</f>
        <v>1620</v>
      </c>
      <c r="Q45" s="104">
        <f>VLOOKUP(11,$A$4:$AZ$32,17,FALSE)</f>
        <v>1527</v>
      </c>
      <c r="R45" s="104">
        <f>VLOOKUP(11,$A$4:$AZ$32,18,FALSE)</f>
        <v>1608</v>
      </c>
      <c r="S45" s="104">
        <f>VLOOKUP(11,$A$4:$AZ$32,19,FALSE)</f>
        <v>1672</v>
      </c>
      <c r="T45" s="104">
        <f>VLOOKUP(11,$A$4:$AZ$32,20,FALSE)</f>
        <v>1571</v>
      </c>
      <c r="U45" s="104">
        <f>VLOOKUP(11,$A$4:$AZ$32,21,FALSE)</f>
        <v>1649</v>
      </c>
      <c r="V45" s="104">
        <f>VLOOKUP(11,$A$4:$AZ$32,22,FALSE)</f>
        <v>1678</v>
      </c>
      <c r="W45" s="104">
        <f>VLOOKUP(11,$A$4:$AZ$32,23,FALSE)</f>
        <v>1569</v>
      </c>
      <c r="X45" s="104">
        <f>VLOOKUP(11,$A$4:$AZ$32,24,FALSE)</f>
        <v>1528</v>
      </c>
      <c r="Y45" s="104">
        <f>VLOOKUP(11,$A$4:$AZ$32,25,FALSE)</f>
        <v>1672</v>
      </c>
      <c r="Z45" s="104">
        <f>VLOOKUP(11,$A$4:$AZ$32,26,FALSE)</f>
        <v>1422</v>
      </c>
      <c r="AA45" s="104">
        <f>VLOOKUP(11,$A$4:$AZ$32,27,FALSE)</f>
        <v>1670</v>
      </c>
      <c r="AB45" s="104">
        <f>VLOOKUP(11,$A$4:$AZ$32,28,FALSE)</f>
        <v>1628</v>
      </c>
      <c r="AC45" s="104">
        <f>VLOOKUP(11,$A$4:$AZ$32,29,FALSE)</f>
        <v>1531</v>
      </c>
      <c r="AD45" s="104">
        <f>VLOOKUP(11,$A$4:$AZ$32,30,FALSE)</f>
        <v>1642</v>
      </c>
      <c r="AE45" s="104">
        <f>VLOOKUP(11,$A$4:$AZ$32,31,FALSE)</f>
        <v>1507</v>
      </c>
      <c r="AF45" s="104">
        <f>VLOOKUP(11,$A$4:$AZ$32,32,FALSE)</f>
        <v>1633</v>
      </c>
      <c r="AG45" s="104">
        <f>VLOOKUP(11,$A$4:$AZ$32,33,FALSE)</f>
        <v>1538</v>
      </c>
      <c r="AH45" s="104">
        <f>VLOOKUP(11,$A$4:$AZ$32,34,FALSE)</f>
        <v>1492</v>
      </c>
      <c r="AI45" s="104">
        <f>VLOOKUP(11,$A$4:$AZ$32,35,FALSE)</f>
        <v>1659</v>
      </c>
    </row>
    <row r="46" spans="1:35" ht="12.75">
      <c r="A46">
        <v>12</v>
      </c>
      <c r="B46" s="78" t="s">
        <v>89</v>
      </c>
      <c r="C46" s="104">
        <f>VLOOKUP(12,$A$4:$AZ$32,3,FALSE)</f>
        <v>466</v>
      </c>
      <c r="D46" s="104">
        <f>VLOOKUP(12,$A$4:$AZ$32,4,FALSE)</f>
        <v>571</v>
      </c>
      <c r="E46" s="104">
        <f>VLOOKUP(12,$A$4:$AZ$32,5,FALSE)</f>
        <v>503</v>
      </c>
      <c r="F46" s="104">
        <f>VLOOKUP(12,$A$4:$AZ$32,6,FALSE)</f>
        <v>539</v>
      </c>
      <c r="G46" s="104">
        <f>VLOOKUP(12,$A$4:$AZ$32,7,FALSE)</f>
        <v>569</v>
      </c>
      <c r="H46" s="104">
        <f>VLOOKUP(12,$A$4:$AZ$32,8,FALSE)</f>
        <v>567</v>
      </c>
      <c r="I46" s="104">
        <f>VLOOKUP(12,$A$4:$AZ$32,9,FALSE)</f>
        <v>582</v>
      </c>
      <c r="J46" s="104">
        <f>VLOOKUP(12,$A$4:$AZ$32,10,FALSE)</f>
        <v>636</v>
      </c>
      <c r="K46" s="104">
        <f>VLOOKUP(12,$A$4:$AZ$32,11,FALSE)</f>
        <v>579</v>
      </c>
      <c r="L46" s="104">
        <f>VLOOKUP(12,$A$4:$AZ$32,12,FALSE)</f>
        <v>533</v>
      </c>
      <c r="M46" s="104">
        <f>VLOOKUP(12,$A$4:$AZ$32,13,FALSE)</f>
        <v>644</v>
      </c>
      <c r="N46" s="104">
        <f>VLOOKUP(12,$A$4:$AZ$32,14,FALSE)</f>
        <v>602</v>
      </c>
      <c r="O46" s="104">
        <f>VLOOKUP(12,$A$4:$AZ$32,15,FALSE)</f>
        <v>640</v>
      </c>
      <c r="P46" s="104">
        <f>VLOOKUP(12,$A$4:$AZ$32,16,FALSE)</f>
        <v>637</v>
      </c>
      <c r="Q46" s="104">
        <f>VLOOKUP(12,$A$4:$AZ$32,17,FALSE)</f>
        <v>600</v>
      </c>
      <c r="R46" s="104">
        <f>VLOOKUP(12,$A$4:$AZ$32,18,FALSE)</f>
        <v>639</v>
      </c>
      <c r="S46" s="104">
        <f>VLOOKUP(12,$A$4:$AZ$32,19,FALSE)</f>
        <v>590</v>
      </c>
      <c r="T46" s="104">
        <f>VLOOKUP(12,$A$4:$AZ$32,20,FALSE)</f>
        <v>589</v>
      </c>
      <c r="U46" s="104">
        <f>VLOOKUP(12,$A$4:$AZ$32,21,FALSE)</f>
        <v>590</v>
      </c>
      <c r="V46" s="104">
        <f>VLOOKUP(12,$A$4:$AZ$32,22,FALSE)</f>
        <v>633</v>
      </c>
      <c r="W46" s="104">
        <f>VLOOKUP(12,$A$4:$AZ$32,23,FALSE)</f>
        <v>576</v>
      </c>
      <c r="X46" s="104">
        <f>VLOOKUP(12,$A$4:$AZ$32,24,FALSE)</f>
        <v>577</v>
      </c>
      <c r="Y46" s="104">
        <f>VLOOKUP(12,$A$4:$AZ$32,25,FALSE)</f>
        <v>637</v>
      </c>
      <c r="Z46" s="104">
        <f>VLOOKUP(12,$A$4:$AZ$32,26,FALSE)</f>
        <v>550</v>
      </c>
      <c r="AA46" s="104">
        <f>VLOOKUP(12,$A$4:$AZ$32,27,FALSE)</f>
        <v>632</v>
      </c>
      <c r="AB46" s="104">
        <f>VLOOKUP(12,$A$4:$AZ$32,28,FALSE)</f>
        <v>622</v>
      </c>
      <c r="AC46" s="104">
        <f>VLOOKUP(12,$A$4:$AZ$32,29,FALSE)</f>
        <v>550</v>
      </c>
      <c r="AD46" s="104">
        <f>VLOOKUP(12,$A$4:$AZ$32,30,FALSE)</f>
        <v>621</v>
      </c>
      <c r="AE46" s="104">
        <f>VLOOKUP(12,$A$4:$AZ$32,31,FALSE)</f>
        <v>568</v>
      </c>
      <c r="AF46" s="104">
        <f>VLOOKUP(12,$A$4:$AZ$32,32,FALSE)</f>
        <v>607</v>
      </c>
      <c r="AG46" s="104">
        <f>VLOOKUP(12,$A$4:$AZ$32,33,FALSE)</f>
        <v>596</v>
      </c>
      <c r="AH46" s="104">
        <f>VLOOKUP(12,$A$4:$AZ$32,34,FALSE)</f>
        <v>556</v>
      </c>
      <c r="AI46" s="104">
        <f>VLOOKUP(12,$A$4:$AZ$32,35,FALSE)</f>
        <v>632</v>
      </c>
    </row>
    <row r="47" spans="1:35" ht="12.75">
      <c r="A47">
        <v>13</v>
      </c>
      <c r="B47" s="78" t="s">
        <v>90</v>
      </c>
      <c r="C47" s="104">
        <f>VLOOKUP(13,$A$4:$AZ$32,3,FALSE)</f>
        <v>419</v>
      </c>
      <c r="D47" s="104">
        <f>VLOOKUP(13,$A$4:$AZ$32,4,FALSE)</f>
        <v>525</v>
      </c>
      <c r="E47" s="104">
        <f>VLOOKUP(13,$A$4:$AZ$32,5,FALSE)</f>
        <v>462</v>
      </c>
      <c r="F47" s="104">
        <f>VLOOKUP(13,$A$4:$AZ$32,6,FALSE)</f>
        <v>457</v>
      </c>
      <c r="G47" s="104">
        <f>VLOOKUP(13,$A$4:$AZ$32,7,FALSE)</f>
        <v>464</v>
      </c>
      <c r="H47" s="104">
        <f>VLOOKUP(13,$A$4:$AZ$32,8,FALSE)</f>
        <v>466</v>
      </c>
      <c r="I47" s="104">
        <f>VLOOKUP(13,$A$4:$AZ$32,9,FALSE)</f>
        <v>488</v>
      </c>
      <c r="J47" s="104">
        <f>VLOOKUP(13,$A$4:$AZ$32,10,FALSE)</f>
        <v>482</v>
      </c>
      <c r="K47" s="104">
        <f>VLOOKUP(13,$A$4:$AZ$32,11,FALSE)</f>
        <v>474</v>
      </c>
      <c r="L47" s="104">
        <f>VLOOKUP(13,$A$4:$AZ$32,12,FALSE)</f>
        <v>439</v>
      </c>
      <c r="M47" s="104">
        <f>VLOOKUP(13,$A$4:$AZ$32,13,FALSE)</f>
        <v>517</v>
      </c>
      <c r="N47" s="104">
        <f>VLOOKUP(13,$A$4:$AZ$32,14,FALSE)</f>
        <v>466</v>
      </c>
      <c r="O47" s="104">
        <f>VLOOKUP(13,$A$4:$AZ$32,15,FALSE)</f>
        <v>481</v>
      </c>
      <c r="P47" s="104">
        <f>VLOOKUP(13,$A$4:$AZ$32,16,FALSE)</f>
        <v>483</v>
      </c>
      <c r="Q47" s="104">
        <f>VLOOKUP(13,$A$4:$AZ$32,17,FALSE)</f>
        <v>457</v>
      </c>
      <c r="R47" s="104">
        <f>VLOOKUP(13,$A$4:$AZ$32,18,FALSE)</f>
        <v>506</v>
      </c>
      <c r="S47" s="104">
        <f>VLOOKUP(13,$A$4:$AZ$32,19,FALSE)</f>
        <v>499</v>
      </c>
      <c r="T47" s="104">
        <f>VLOOKUP(13,$A$4:$AZ$32,20,FALSE)</f>
        <v>464</v>
      </c>
      <c r="U47" s="104">
        <f>VLOOKUP(13,$A$4:$AZ$32,21,FALSE)</f>
        <v>513</v>
      </c>
      <c r="V47" s="104">
        <f>VLOOKUP(13,$A$4:$AZ$32,22,FALSE)</f>
        <v>505</v>
      </c>
      <c r="W47" s="104">
        <f>VLOOKUP(13,$A$4:$AZ$32,23,FALSE)</f>
        <v>486</v>
      </c>
      <c r="X47" s="104">
        <f>VLOOKUP(13,$A$4:$AZ$32,24,FALSE)</f>
        <v>459</v>
      </c>
      <c r="Y47" s="104">
        <f>VLOOKUP(13,$A$4:$AZ$32,25,FALSE)</f>
        <v>518</v>
      </c>
      <c r="Z47" s="104">
        <f>VLOOKUP(13,$A$4:$AZ$32,26,FALSE)</f>
        <v>440</v>
      </c>
      <c r="AA47" s="104">
        <f>VLOOKUP(13,$A$4:$AZ$32,27,FALSE)</f>
        <v>517</v>
      </c>
      <c r="AB47" s="104">
        <f>VLOOKUP(13,$A$4:$AZ$32,28,FALSE)</f>
        <v>512</v>
      </c>
      <c r="AC47" s="104">
        <f>VLOOKUP(13,$A$4:$AZ$32,29,FALSE)</f>
        <v>471</v>
      </c>
      <c r="AD47" s="104">
        <f>VLOOKUP(13,$A$4:$AZ$32,30,FALSE)</f>
        <v>504</v>
      </c>
      <c r="AE47" s="104">
        <f>VLOOKUP(13,$A$4:$AZ$32,31,FALSE)</f>
        <v>488</v>
      </c>
      <c r="AF47" s="104">
        <f>VLOOKUP(13,$A$4:$AZ$32,32,FALSE)</f>
        <v>527</v>
      </c>
      <c r="AG47" s="104">
        <f>VLOOKUP(13,$A$4:$AZ$32,33,FALSE)</f>
        <v>481</v>
      </c>
      <c r="AH47" s="104">
        <f>VLOOKUP(13,$A$4:$AZ$32,34,FALSE)</f>
        <v>445</v>
      </c>
      <c r="AI47" s="104">
        <f>VLOOKUP(13,$A$4:$AZ$32,35,FALSE)</f>
        <v>530</v>
      </c>
    </row>
    <row r="48" spans="1:35" ht="12.75">
      <c r="A48">
        <v>14</v>
      </c>
      <c r="B48" s="78" t="s">
        <v>91</v>
      </c>
      <c r="C48" s="104">
        <f>VLOOKUP(14,$A$4:$AZ$32,3,FALSE)</f>
        <v>21</v>
      </c>
      <c r="D48" s="104">
        <f>VLOOKUP(14,$A$4:$AZ$32,4,FALSE)</f>
        <v>31</v>
      </c>
      <c r="E48" s="104">
        <f>VLOOKUP(14,$A$4:$AZ$32,5,FALSE)</f>
        <v>22</v>
      </c>
      <c r="F48" s="104">
        <f>VLOOKUP(14,$A$4:$AZ$32,6,FALSE)</f>
        <v>24</v>
      </c>
      <c r="G48" s="104">
        <f>VLOOKUP(14,$A$4:$AZ$32,7,FALSE)</f>
        <v>28</v>
      </c>
      <c r="H48" s="104">
        <f>VLOOKUP(14,$A$4:$AZ$32,8,FALSE)</f>
        <v>29</v>
      </c>
      <c r="I48" s="104">
        <f>VLOOKUP(14,$A$4:$AZ$32,9,FALSE)</f>
        <v>37</v>
      </c>
      <c r="J48" s="104">
        <f>VLOOKUP(14,$A$4:$AZ$32,10,FALSE)</f>
        <v>42</v>
      </c>
      <c r="K48" s="104">
        <f>VLOOKUP(14,$A$4:$AZ$32,11,FALSE)</f>
        <v>45</v>
      </c>
      <c r="L48" s="104">
        <f>VLOOKUP(14,$A$4:$AZ$32,12,FALSE)</f>
        <v>44</v>
      </c>
      <c r="M48" s="104">
        <f>VLOOKUP(14,$A$4:$AZ$32,13,FALSE)</f>
        <v>41</v>
      </c>
      <c r="N48" s="104">
        <f>VLOOKUP(14,$A$4:$AZ$32,14,FALSE)</f>
        <v>51</v>
      </c>
      <c r="O48" s="104">
        <f>VLOOKUP(14,$A$4:$AZ$32,15,FALSE)</f>
        <v>41</v>
      </c>
      <c r="P48" s="104">
        <f>VLOOKUP(14,$A$4:$AZ$32,16,FALSE)</f>
        <v>46</v>
      </c>
      <c r="Q48" s="104">
        <f>VLOOKUP(14,$A$4:$AZ$32,17,FALSE)</f>
        <v>43</v>
      </c>
      <c r="R48" s="104">
        <f>VLOOKUP(14,$A$4:$AZ$32,18,FALSE)</f>
        <v>38</v>
      </c>
      <c r="S48" s="104">
        <f>VLOOKUP(14,$A$4:$AZ$32,19,FALSE)</f>
        <v>47</v>
      </c>
      <c r="T48" s="104">
        <f>VLOOKUP(14,$A$4:$AZ$32,20,FALSE)</f>
        <v>39</v>
      </c>
      <c r="U48" s="104">
        <f>VLOOKUP(14,$A$4:$AZ$32,21,FALSE)</f>
        <v>33</v>
      </c>
      <c r="V48" s="104">
        <f>VLOOKUP(14,$A$4:$AZ$32,22,FALSE)</f>
        <v>37</v>
      </c>
      <c r="W48" s="104">
        <f>VLOOKUP(14,$A$4:$AZ$32,23,FALSE)</f>
        <v>42</v>
      </c>
      <c r="X48" s="104">
        <f>VLOOKUP(14,$A$4:$AZ$32,24,FALSE)</f>
        <v>38</v>
      </c>
      <c r="Y48" s="104">
        <f>VLOOKUP(14,$A$4:$AZ$32,25,FALSE)</f>
        <v>42</v>
      </c>
      <c r="Z48" s="104">
        <f>VLOOKUP(14,$A$4:$AZ$32,26,FALSE)</f>
        <v>36</v>
      </c>
      <c r="AA48" s="104">
        <f>VLOOKUP(14,$A$4:$AZ$32,27,FALSE)</f>
        <v>40</v>
      </c>
      <c r="AB48" s="104">
        <f>VLOOKUP(14,$A$4:$AZ$32,28,FALSE)</f>
        <v>38</v>
      </c>
      <c r="AC48" s="104">
        <f>VLOOKUP(14,$A$4:$AZ$32,29,FALSE)</f>
        <v>41</v>
      </c>
      <c r="AD48" s="104">
        <f>VLOOKUP(14,$A$4:$AZ$32,30,FALSE)</f>
        <v>52</v>
      </c>
      <c r="AE48" s="104">
        <f>VLOOKUP(14,$A$4:$AZ$32,31,FALSE)</f>
        <v>52</v>
      </c>
      <c r="AF48" s="104">
        <f>VLOOKUP(14,$A$4:$AZ$32,32,FALSE)</f>
        <v>46</v>
      </c>
      <c r="AG48" s="104">
        <f>VLOOKUP(14,$A$4:$AZ$32,33,FALSE)</f>
        <v>55</v>
      </c>
      <c r="AH48" s="104">
        <f>VLOOKUP(14,$A$4:$AZ$32,34,FALSE)</f>
        <v>58</v>
      </c>
      <c r="AI48" s="104">
        <f>VLOOKUP(14,$A$4:$AZ$32,35,FALSE)</f>
        <v>76</v>
      </c>
    </row>
    <row r="49" spans="1:35" ht="12.75">
      <c r="A49">
        <v>15</v>
      </c>
      <c r="B49" s="78" t="s">
        <v>92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74</v>
      </c>
      <c r="Y49" s="104">
        <f>VLOOKUP(15,$A$4:$AZ$32,25,FALSE)</f>
        <v>192</v>
      </c>
      <c r="Z49" s="104">
        <f>VLOOKUP(15,$A$4:$AZ$32,26,FALSE)</f>
        <v>251</v>
      </c>
      <c r="AA49" s="104">
        <f>VLOOKUP(15,$A$4:$AZ$32,27,FALSE)</f>
        <v>355</v>
      </c>
      <c r="AB49" s="104">
        <f>VLOOKUP(15,$A$4:$AZ$32,28,FALSE)</f>
        <v>437</v>
      </c>
      <c r="AC49" s="104">
        <f>VLOOKUP(15,$A$4:$AZ$32,29,FALSE)</f>
        <v>455</v>
      </c>
      <c r="AD49" s="104">
        <f>VLOOKUP(15,$A$4:$AZ$32,30,FALSE)</f>
        <v>522</v>
      </c>
      <c r="AE49" s="104">
        <f>VLOOKUP(15,$A$4:$AZ$32,31,FALSE)</f>
        <v>527</v>
      </c>
      <c r="AF49" s="104">
        <f>VLOOKUP(15,$A$4:$AZ$32,32,FALSE)</f>
        <v>614</v>
      </c>
      <c r="AG49" s="104">
        <f>VLOOKUP(15,$A$4:$AZ$32,33,FALSE)</f>
        <v>630</v>
      </c>
      <c r="AH49" s="104">
        <f>VLOOKUP(15,$A$4:$AZ$32,34,FALSE)</f>
        <v>613</v>
      </c>
      <c r="AI49" s="104">
        <f>VLOOKUP(15,$A$4:$AZ$32,35,FALSE)</f>
        <v>786</v>
      </c>
    </row>
    <row r="50" spans="1:35" ht="12.75">
      <c r="A50">
        <v>16</v>
      </c>
      <c r="B50" s="78" t="s">
        <v>93</v>
      </c>
      <c r="C50" s="104">
        <f>VLOOKUP(16,$A$4:$AZ$32,3,FALSE)</f>
        <v>199</v>
      </c>
      <c r="D50" s="104">
        <f>VLOOKUP(16,$A$4:$AZ$32,4,FALSE)</f>
        <v>330</v>
      </c>
      <c r="E50" s="104">
        <f>VLOOKUP(16,$A$4:$AZ$32,5,FALSE)</f>
        <v>350</v>
      </c>
      <c r="F50" s="104">
        <f>VLOOKUP(16,$A$4:$AZ$32,6,FALSE)</f>
        <v>369</v>
      </c>
      <c r="G50" s="104">
        <f>VLOOKUP(16,$A$4:$AZ$32,7,FALSE)</f>
        <v>384</v>
      </c>
      <c r="H50" s="104">
        <f>VLOOKUP(16,$A$4:$AZ$32,8,FALSE)</f>
        <v>348</v>
      </c>
      <c r="I50" s="104">
        <f>VLOOKUP(16,$A$4:$AZ$32,9,FALSE)</f>
        <v>329</v>
      </c>
      <c r="J50" s="104">
        <f>VLOOKUP(16,$A$4:$AZ$32,10,FALSE)</f>
        <v>351</v>
      </c>
      <c r="K50" s="104">
        <f>VLOOKUP(16,$A$4:$AZ$32,11,FALSE)</f>
        <v>330</v>
      </c>
      <c r="L50" s="104">
        <f>VLOOKUP(16,$A$4:$AZ$32,12,FALSE)</f>
        <v>352</v>
      </c>
      <c r="M50" s="104">
        <f>VLOOKUP(16,$A$4:$AZ$32,13,FALSE)</f>
        <v>410</v>
      </c>
      <c r="N50" s="104">
        <f>VLOOKUP(16,$A$4:$AZ$32,14,FALSE)</f>
        <v>404</v>
      </c>
      <c r="O50" s="104">
        <f>VLOOKUP(16,$A$4:$AZ$32,15,FALSE)</f>
        <v>445</v>
      </c>
      <c r="P50" s="104">
        <f>VLOOKUP(16,$A$4:$AZ$32,16,FALSE)</f>
        <v>475</v>
      </c>
      <c r="Q50" s="104">
        <f>VLOOKUP(16,$A$4:$AZ$32,17,FALSE)</f>
        <v>450</v>
      </c>
      <c r="R50" s="104">
        <f>VLOOKUP(16,$A$4:$AZ$32,18,FALSE)</f>
        <v>484</v>
      </c>
      <c r="S50" s="104">
        <f>VLOOKUP(16,$A$4:$AZ$32,19,FALSE)</f>
        <v>505</v>
      </c>
      <c r="T50" s="104">
        <f>VLOOKUP(16,$A$4:$AZ$32,20,FALSE)</f>
        <v>463</v>
      </c>
      <c r="U50" s="104">
        <f>VLOOKUP(16,$A$4:$AZ$32,21,FALSE)</f>
        <v>516</v>
      </c>
      <c r="V50" s="104">
        <f>VLOOKUP(16,$A$4:$AZ$32,22,FALSE)</f>
        <v>548</v>
      </c>
      <c r="W50" s="104">
        <f>VLOOKUP(16,$A$4:$AZ$32,23,FALSE)</f>
        <v>538</v>
      </c>
      <c r="X50" s="104">
        <f>VLOOKUP(16,$A$4:$AZ$32,24,FALSE)</f>
        <v>521</v>
      </c>
      <c r="Y50" s="104">
        <f>VLOOKUP(16,$A$4:$AZ$32,25,FALSE)</f>
        <v>608</v>
      </c>
      <c r="Z50" s="104">
        <f>VLOOKUP(16,$A$4:$AZ$32,26,FALSE)</f>
        <v>508</v>
      </c>
      <c r="AA50" s="104">
        <f>VLOOKUP(16,$A$4:$AZ$32,27,FALSE)</f>
        <v>596</v>
      </c>
      <c r="AB50" s="104">
        <f>VLOOKUP(16,$A$4:$AZ$32,28,FALSE)</f>
        <v>649</v>
      </c>
      <c r="AC50" s="104">
        <f>VLOOKUP(16,$A$4:$AZ$32,29,FALSE)</f>
        <v>586</v>
      </c>
      <c r="AD50" s="104">
        <f>VLOOKUP(16,$A$4:$AZ$32,30,FALSE)</f>
        <v>674</v>
      </c>
      <c r="AE50" s="104">
        <f>VLOOKUP(16,$A$4:$AZ$32,31,FALSE)</f>
        <v>603</v>
      </c>
      <c r="AF50" s="104">
        <f>VLOOKUP(16,$A$4:$AZ$32,32,FALSE)</f>
        <v>687</v>
      </c>
      <c r="AG50" s="104">
        <f>VLOOKUP(16,$A$4:$AZ$32,33,FALSE)</f>
        <v>638</v>
      </c>
      <c r="AH50" s="104">
        <f>VLOOKUP(16,$A$4:$AZ$32,34,FALSE)</f>
        <v>619</v>
      </c>
      <c r="AI50" s="104">
        <f>VLOOKUP(16,$A$4:$AZ$32,35,FALSE)</f>
        <v>713</v>
      </c>
    </row>
    <row r="51" spans="1:35" ht="12.75">
      <c r="A51">
        <v>17</v>
      </c>
      <c r="B51" s="78" t="s">
        <v>94</v>
      </c>
      <c r="C51" s="104">
        <f>VLOOKUP(17,$A$4:$AZ$32,3,FALSE)</f>
        <v>15</v>
      </c>
      <c r="D51" s="104">
        <f>VLOOKUP(17,$A$4:$AZ$32,4,FALSE)</f>
        <v>20</v>
      </c>
      <c r="E51" s="104">
        <f>VLOOKUP(17,$A$4:$AZ$32,5,FALSE)</f>
        <v>18</v>
      </c>
      <c r="F51" s="104">
        <f>VLOOKUP(17,$A$4:$AZ$32,6,FALSE)</f>
        <v>25</v>
      </c>
      <c r="G51" s="104">
        <f>VLOOKUP(17,$A$4:$AZ$32,7,FALSE)</f>
        <v>27</v>
      </c>
      <c r="H51" s="104">
        <f>VLOOKUP(17,$A$4:$AZ$32,8,FALSE)</f>
        <v>26</v>
      </c>
      <c r="I51" s="104">
        <f>VLOOKUP(17,$A$4:$AZ$32,9,FALSE)</f>
        <v>24</v>
      </c>
      <c r="J51" s="104">
        <f>VLOOKUP(17,$A$4:$AZ$32,10,FALSE)</f>
        <v>31</v>
      </c>
      <c r="K51" s="104">
        <f>VLOOKUP(17,$A$4:$AZ$32,11,FALSE)</f>
        <v>32</v>
      </c>
      <c r="L51" s="104">
        <f>VLOOKUP(17,$A$4:$AZ$32,12,FALSE)</f>
        <v>30</v>
      </c>
      <c r="M51" s="104">
        <f>VLOOKUP(17,$A$4:$AZ$32,13,FALSE)</f>
        <v>38</v>
      </c>
      <c r="N51" s="104">
        <f>VLOOKUP(17,$A$4:$AZ$32,14,FALSE)</f>
        <v>35</v>
      </c>
      <c r="O51" s="104">
        <f>VLOOKUP(17,$A$4:$AZ$32,15,FALSE)</f>
        <v>42</v>
      </c>
      <c r="P51" s="104">
        <f>VLOOKUP(17,$A$4:$AZ$32,16,FALSE)</f>
        <v>45</v>
      </c>
      <c r="Q51" s="104">
        <f>VLOOKUP(17,$A$4:$AZ$32,17,FALSE)</f>
        <v>51</v>
      </c>
      <c r="R51" s="104">
        <f>VLOOKUP(17,$A$4:$AZ$32,18,FALSE)</f>
        <v>46</v>
      </c>
      <c r="S51" s="104">
        <f>VLOOKUP(17,$A$4:$AZ$32,19,FALSE)</f>
        <v>41</v>
      </c>
      <c r="T51" s="104">
        <f>VLOOKUP(17,$A$4:$AZ$32,20,FALSE)</f>
        <v>49</v>
      </c>
      <c r="U51" s="104">
        <f>VLOOKUP(17,$A$4:$AZ$32,21,FALSE)</f>
        <v>49</v>
      </c>
      <c r="V51" s="104">
        <f>VLOOKUP(17,$A$4:$AZ$32,22,FALSE)</f>
        <v>54</v>
      </c>
      <c r="W51" s="104">
        <f>VLOOKUP(17,$A$4:$AZ$32,23,FALSE)</f>
        <v>54</v>
      </c>
      <c r="X51" s="104">
        <f>VLOOKUP(17,$A$4:$AZ$32,24,FALSE)</f>
        <v>58</v>
      </c>
      <c r="Y51" s="104">
        <f>VLOOKUP(17,$A$4:$AZ$32,25,FALSE)</f>
        <v>49</v>
      </c>
      <c r="Z51" s="104">
        <f>VLOOKUP(17,$A$4:$AZ$32,26,FALSE)</f>
        <v>52</v>
      </c>
      <c r="AA51" s="104">
        <f>VLOOKUP(17,$A$4:$AZ$32,27,FALSE)</f>
        <v>56</v>
      </c>
      <c r="AB51" s="104">
        <f>VLOOKUP(17,$A$4:$AZ$32,28,FALSE)</f>
        <v>66</v>
      </c>
      <c r="AC51" s="104">
        <f>VLOOKUP(17,$A$4:$AZ$32,29,FALSE)</f>
        <v>53</v>
      </c>
      <c r="AD51" s="104">
        <f>VLOOKUP(17,$A$4:$AZ$32,30,FALSE)</f>
        <v>68</v>
      </c>
      <c r="AE51" s="104">
        <f>VLOOKUP(17,$A$4:$AZ$32,31,FALSE)</f>
        <v>63</v>
      </c>
      <c r="AF51" s="104">
        <f>VLOOKUP(17,$A$4:$AZ$32,32,FALSE)</f>
        <v>68</v>
      </c>
      <c r="AG51" s="104">
        <f>VLOOKUP(17,$A$4:$AZ$32,33,FALSE)</f>
        <v>69</v>
      </c>
      <c r="AH51" s="104">
        <f>VLOOKUP(17,$A$4:$AZ$32,34,FALSE)</f>
        <v>75</v>
      </c>
      <c r="AI51" s="104">
        <f>VLOOKUP(17,$A$4:$AZ$32,35,FALSE)</f>
        <v>78</v>
      </c>
    </row>
    <row r="52" spans="1:35" ht="12.75">
      <c r="A52">
        <v>18</v>
      </c>
      <c r="B52" s="78" t="s">
        <v>95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25</v>
      </c>
      <c r="L52" s="104">
        <f>VLOOKUP(18,$A$4:$AZ$32,12,FALSE)</f>
        <v>64</v>
      </c>
      <c r="M52" s="104">
        <f>VLOOKUP(18,$A$4:$AZ$32,13,FALSE)</f>
        <v>148</v>
      </c>
      <c r="N52" s="104">
        <f>VLOOKUP(18,$A$4:$AZ$32,14,FALSE)</f>
        <v>174</v>
      </c>
      <c r="O52" s="104">
        <f>VLOOKUP(18,$A$4:$AZ$32,15,FALSE)</f>
        <v>244</v>
      </c>
      <c r="P52" s="104">
        <f>VLOOKUP(18,$A$4:$AZ$32,16,FALSE)</f>
        <v>246</v>
      </c>
      <c r="Q52" s="104">
        <f>VLOOKUP(18,$A$4:$AZ$32,17,FALSE)</f>
        <v>260</v>
      </c>
      <c r="R52" s="104">
        <f>VLOOKUP(18,$A$4:$AZ$32,18,FALSE)</f>
        <v>278</v>
      </c>
      <c r="S52" s="104">
        <f>VLOOKUP(18,$A$4:$AZ$32,19,FALSE)</f>
        <v>298</v>
      </c>
      <c r="T52" s="104">
        <f>VLOOKUP(18,$A$4:$AZ$32,20,FALSE)</f>
        <v>322</v>
      </c>
      <c r="U52" s="104">
        <f>VLOOKUP(18,$A$4:$AZ$32,21,FALSE)</f>
        <v>342</v>
      </c>
      <c r="V52" s="104">
        <f>VLOOKUP(18,$A$4:$AZ$32,22,FALSE)</f>
        <v>363</v>
      </c>
      <c r="W52" s="104">
        <f>VLOOKUP(18,$A$4:$AZ$32,23,FALSE)</f>
        <v>378</v>
      </c>
      <c r="X52" s="104">
        <f>VLOOKUP(18,$A$4:$AZ$32,24,FALSE)</f>
        <v>372</v>
      </c>
      <c r="Y52" s="104">
        <f>VLOOKUP(18,$A$4:$AZ$32,25,FALSE)</f>
        <v>429</v>
      </c>
      <c r="Z52" s="104">
        <f>VLOOKUP(18,$A$4:$AZ$32,26,FALSE)</f>
        <v>396</v>
      </c>
      <c r="AA52" s="104">
        <f>VLOOKUP(18,$A$4:$AZ$32,27,FALSE)</f>
        <v>442</v>
      </c>
      <c r="AB52" s="104">
        <f>VLOOKUP(18,$A$4:$AZ$32,28,FALSE)</f>
        <v>466</v>
      </c>
      <c r="AC52" s="104">
        <f>VLOOKUP(18,$A$4:$AZ$32,29,FALSE)</f>
        <v>428</v>
      </c>
      <c r="AD52" s="104">
        <f>VLOOKUP(18,$A$4:$AZ$32,30,FALSE)</f>
        <v>470</v>
      </c>
      <c r="AE52" s="104">
        <f>VLOOKUP(18,$A$4:$AZ$32,31,FALSE)</f>
        <v>424</v>
      </c>
      <c r="AF52" s="104">
        <f>VLOOKUP(18,$A$4:$AZ$32,32,FALSE)</f>
        <v>464</v>
      </c>
      <c r="AG52" s="104">
        <f>VLOOKUP(18,$A$4:$AZ$32,33,FALSE)</f>
        <v>440</v>
      </c>
      <c r="AH52" s="104">
        <f>VLOOKUP(18,$A$4:$AZ$32,34,FALSE)</f>
        <v>417</v>
      </c>
      <c r="AI52" s="104">
        <f>VLOOKUP(18,$A$4:$AZ$32,35,FALSE)</f>
        <v>483</v>
      </c>
    </row>
    <row r="53" spans="1:35" ht="12.75">
      <c r="A53">
        <v>19</v>
      </c>
      <c r="B53" s="78" t="s">
        <v>96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8</v>
      </c>
      <c r="X53" s="104">
        <f>VLOOKUP(19,$A$4:$AZ$32,24,FALSE)</f>
        <v>31</v>
      </c>
      <c r="Y53" s="104">
        <f>VLOOKUP(19,$A$4:$AZ$32,25,FALSE)</f>
        <v>74</v>
      </c>
      <c r="Z53" s="104">
        <f>VLOOKUP(19,$A$4:$AZ$32,26,FALSE)</f>
        <v>84</v>
      </c>
      <c r="AA53" s="104">
        <f>VLOOKUP(19,$A$4:$AZ$32,27,FALSE)</f>
        <v>155</v>
      </c>
      <c r="AB53" s="104">
        <f>VLOOKUP(19,$A$4:$AZ$32,28,FALSE)</f>
        <v>158</v>
      </c>
      <c r="AC53" s="104">
        <f>VLOOKUP(19,$A$4:$AZ$32,29,FALSE)</f>
        <v>154</v>
      </c>
      <c r="AD53" s="104">
        <f>VLOOKUP(19,$A$4:$AZ$32,30,FALSE)</f>
        <v>182</v>
      </c>
      <c r="AE53" s="104">
        <f>VLOOKUP(19,$A$4:$AZ$32,31,FALSE)</f>
        <v>199</v>
      </c>
      <c r="AF53" s="104">
        <f>VLOOKUP(19,$A$4:$AZ$32,32,FALSE)</f>
        <v>202</v>
      </c>
      <c r="AG53" s="104">
        <f>VLOOKUP(19,$A$4:$AZ$32,33,FALSE)</f>
        <v>192</v>
      </c>
      <c r="AH53" s="104">
        <f>VLOOKUP(19,$A$4:$AZ$32,34,FALSE)</f>
        <v>209</v>
      </c>
      <c r="AI53" s="104">
        <f>VLOOKUP(19,$A$4:$AZ$32,35,FALSE)</f>
        <v>253</v>
      </c>
    </row>
    <row r="54" spans="1:35" ht="12.75">
      <c r="A54">
        <v>20</v>
      </c>
      <c r="B54" s="78" t="s">
        <v>97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10</v>
      </c>
      <c r="Y54" s="104">
        <f>VLOOKUP(20,$A$4:$AZ$32,25,FALSE)</f>
        <v>32</v>
      </c>
      <c r="Z54" s="104">
        <f>VLOOKUP(20,$A$4:$AZ$32,26,FALSE)</f>
        <v>30</v>
      </c>
      <c r="AA54" s="104">
        <f>VLOOKUP(20,$A$4:$AZ$32,27,FALSE)</f>
        <v>57</v>
      </c>
      <c r="AB54" s="104">
        <f>VLOOKUP(20,$A$4:$AZ$32,28,FALSE)</f>
        <v>60</v>
      </c>
      <c r="AC54" s="104">
        <f>VLOOKUP(20,$A$4:$AZ$32,29,FALSE)</f>
        <v>60</v>
      </c>
      <c r="AD54" s="104">
        <f>VLOOKUP(20,$A$4:$AZ$32,30,FALSE)</f>
        <v>71</v>
      </c>
      <c r="AE54" s="104">
        <f>VLOOKUP(20,$A$4:$AZ$32,31,FALSE)</f>
        <v>66</v>
      </c>
      <c r="AF54" s="104">
        <f>VLOOKUP(20,$A$4:$AZ$32,32,FALSE)</f>
        <v>74</v>
      </c>
      <c r="AG54" s="104">
        <f>VLOOKUP(20,$A$4:$AZ$32,33,FALSE)</f>
        <v>91</v>
      </c>
      <c r="AH54" s="104">
        <f>VLOOKUP(20,$A$4:$AZ$32,34,FALSE)</f>
        <v>95</v>
      </c>
      <c r="AI54" s="104">
        <f>VLOOKUP(20,$A$4:$AZ$32,35,FALSE)</f>
        <v>101</v>
      </c>
    </row>
    <row r="55" spans="1:35" ht="12.75">
      <c r="A55">
        <v>21</v>
      </c>
      <c r="B55" s="78" t="s">
        <v>98</v>
      </c>
      <c r="C55" s="104">
        <f>VLOOKUP(21,$A$4:$AZ$32,3,FALSE)</f>
        <v>39</v>
      </c>
      <c r="D55" s="104">
        <f>VLOOKUP(21,$A$4:$AZ$32,4,FALSE)</f>
        <v>29</v>
      </c>
      <c r="E55" s="104">
        <f>VLOOKUP(21,$A$4:$AZ$32,5,FALSE)</f>
        <v>35</v>
      </c>
      <c r="F55" s="104">
        <f>VLOOKUP(21,$A$4:$AZ$32,6,FALSE)</f>
        <v>31</v>
      </c>
      <c r="G55" s="104">
        <f>VLOOKUP(21,$A$4:$AZ$32,7,FALSE)</f>
        <v>29</v>
      </c>
      <c r="H55" s="104">
        <f>VLOOKUP(21,$A$4:$AZ$32,8,FALSE)</f>
        <v>27</v>
      </c>
      <c r="I55" s="104">
        <f>VLOOKUP(21,$A$4:$AZ$32,9,FALSE)</f>
        <v>25</v>
      </c>
      <c r="J55" s="104">
        <f>VLOOKUP(21,$A$4:$AZ$32,10,FALSE)</f>
        <v>33</v>
      </c>
      <c r="K55" s="104">
        <f>VLOOKUP(21,$A$4:$AZ$32,11,FALSE)</f>
        <v>24</v>
      </c>
      <c r="L55" s="104">
        <f>VLOOKUP(21,$A$4:$AZ$32,12,FALSE)</f>
        <v>26</v>
      </c>
      <c r="M55" s="104">
        <f>VLOOKUP(21,$A$4:$AZ$32,13,FALSE)</f>
        <v>36</v>
      </c>
      <c r="N55" s="104">
        <f>VLOOKUP(21,$A$4:$AZ$32,14,FALSE)</f>
        <v>30</v>
      </c>
      <c r="O55" s="104">
        <f>VLOOKUP(21,$A$4:$AZ$32,15,FALSE)</f>
        <v>28</v>
      </c>
      <c r="P55" s="104">
        <f>VLOOKUP(21,$A$4:$AZ$32,16,FALSE)</f>
        <v>29</v>
      </c>
      <c r="Q55" s="104">
        <f>VLOOKUP(21,$A$4:$AZ$32,17,FALSE)</f>
        <v>31</v>
      </c>
      <c r="R55" s="104">
        <f>VLOOKUP(21,$A$4:$AZ$32,18,FALSE)</f>
        <v>35</v>
      </c>
      <c r="S55" s="104">
        <f>VLOOKUP(21,$A$4:$AZ$32,19,FALSE)</f>
        <v>26</v>
      </c>
      <c r="T55" s="104">
        <f>VLOOKUP(21,$A$4:$AZ$32,20,FALSE)</f>
        <v>37</v>
      </c>
      <c r="U55" s="104">
        <f>VLOOKUP(21,$A$4:$AZ$32,21,FALSE)</f>
        <v>31</v>
      </c>
      <c r="V55" s="104">
        <f>VLOOKUP(21,$A$4:$AZ$32,22,FALSE)</f>
        <v>34</v>
      </c>
      <c r="W55" s="104">
        <f>VLOOKUP(21,$A$4:$AZ$32,23,FALSE)</f>
        <v>37</v>
      </c>
      <c r="X55" s="104">
        <f>VLOOKUP(21,$A$4:$AZ$32,24,FALSE)</f>
        <v>26</v>
      </c>
      <c r="Y55" s="104">
        <f>VLOOKUP(21,$A$4:$AZ$32,25,FALSE)</f>
        <v>36</v>
      </c>
      <c r="Z55" s="104">
        <f>VLOOKUP(21,$A$4:$AZ$32,26,FALSE)</f>
        <v>30</v>
      </c>
      <c r="AA55" s="104">
        <f>VLOOKUP(21,$A$4:$AZ$32,27,FALSE)</f>
        <v>29</v>
      </c>
      <c r="AB55" s="104">
        <f>VLOOKUP(21,$A$4:$AZ$32,28,FALSE)</f>
        <v>38</v>
      </c>
      <c r="AC55" s="104">
        <f>VLOOKUP(21,$A$4:$AZ$32,29,FALSE)</f>
        <v>28</v>
      </c>
      <c r="AD55" s="104">
        <f>VLOOKUP(21,$A$4:$AZ$32,30,FALSE)</f>
        <v>35</v>
      </c>
      <c r="AE55" s="104">
        <f>VLOOKUP(21,$A$4:$AZ$32,31,FALSE)</f>
        <v>30</v>
      </c>
      <c r="AF55" s="104">
        <f>VLOOKUP(21,$A$4:$AZ$32,32,FALSE)</f>
        <v>36</v>
      </c>
      <c r="AG55" s="104">
        <f>VLOOKUP(21,$A$4:$AZ$32,33,FALSE)</f>
        <v>37</v>
      </c>
      <c r="AH55" s="104">
        <f>VLOOKUP(21,$A$4:$AZ$32,34,FALSE)</f>
        <v>33</v>
      </c>
      <c r="AI55" s="104">
        <f>VLOOKUP(21,$A$4:$AZ$32,35,FALSE)</f>
        <v>40</v>
      </c>
    </row>
    <row r="56" spans="1:35" ht="25.5">
      <c r="A56">
        <v>22</v>
      </c>
      <c r="B56" s="78" t="s">
        <v>99</v>
      </c>
      <c r="C56" s="104">
        <f>VLOOKUP(22,$A$4:$AZ$32,3,FALSE)</f>
        <v>165</v>
      </c>
      <c r="D56" s="104">
        <f>VLOOKUP(22,$A$4:$AZ$32,4,FALSE)</f>
        <v>220</v>
      </c>
      <c r="E56" s="104">
        <f>VLOOKUP(22,$A$4:$AZ$32,5,FALSE)</f>
        <v>225</v>
      </c>
      <c r="F56" s="104">
        <f>VLOOKUP(22,$A$4:$AZ$32,6,FALSE)</f>
        <v>188</v>
      </c>
      <c r="G56" s="104">
        <f>VLOOKUP(22,$A$4:$AZ$32,7,FALSE)</f>
        <v>205</v>
      </c>
      <c r="H56" s="104">
        <f>VLOOKUP(22,$A$4:$AZ$32,8,FALSE)</f>
        <v>164</v>
      </c>
      <c r="I56" s="104">
        <f>VLOOKUP(22,$A$4:$AZ$32,9,FALSE)</f>
        <v>211</v>
      </c>
      <c r="J56" s="104">
        <f>VLOOKUP(22,$A$4:$AZ$32,10,FALSE)</f>
        <v>209</v>
      </c>
      <c r="K56" s="104">
        <f>VLOOKUP(22,$A$4:$AZ$32,11,FALSE)</f>
        <v>198</v>
      </c>
      <c r="L56" s="104">
        <f>VLOOKUP(22,$A$4:$AZ$32,12,FALSE)</f>
        <v>196</v>
      </c>
      <c r="M56" s="104">
        <f>VLOOKUP(22,$A$4:$AZ$32,13,FALSE)</f>
        <v>211</v>
      </c>
      <c r="N56" s="104">
        <f>VLOOKUP(22,$A$4:$AZ$32,14,FALSE)</f>
        <v>186</v>
      </c>
      <c r="O56" s="104">
        <f>VLOOKUP(22,$A$4:$AZ$32,15,FALSE)</f>
        <v>203</v>
      </c>
      <c r="P56" s="104">
        <f>VLOOKUP(22,$A$4:$AZ$32,16,FALSE)</f>
        <v>187</v>
      </c>
      <c r="Q56" s="104">
        <f>VLOOKUP(22,$A$4:$AZ$32,17,FALSE)</f>
        <v>187</v>
      </c>
      <c r="R56" s="104">
        <f>VLOOKUP(22,$A$4:$AZ$32,18,FALSE)</f>
        <v>198</v>
      </c>
      <c r="S56" s="104">
        <f>VLOOKUP(22,$A$4:$AZ$32,19,FALSE)</f>
        <v>192</v>
      </c>
      <c r="T56" s="104">
        <f>VLOOKUP(22,$A$4:$AZ$32,20,FALSE)</f>
        <v>196</v>
      </c>
      <c r="U56" s="104">
        <f>VLOOKUP(22,$A$4:$AZ$32,21,FALSE)</f>
        <v>214</v>
      </c>
      <c r="V56" s="104">
        <f>VLOOKUP(22,$A$4:$AZ$32,22,FALSE)</f>
        <v>203</v>
      </c>
      <c r="W56" s="104">
        <f>VLOOKUP(22,$A$4:$AZ$32,23,FALSE)</f>
        <v>204</v>
      </c>
      <c r="X56" s="104">
        <f>VLOOKUP(22,$A$4:$AZ$32,24,FALSE)</f>
        <v>182</v>
      </c>
      <c r="Y56" s="104">
        <f>VLOOKUP(22,$A$4:$AZ$32,25,FALSE)</f>
        <v>211</v>
      </c>
      <c r="Z56" s="104">
        <f>VLOOKUP(22,$A$4:$AZ$32,26,FALSE)</f>
        <v>163</v>
      </c>
      <c r="AA56" s="104">
        <f>VLOOKUP(22,$A$4:$AZ$32,27,FALSE)</f>
        <v>191</v>
      </c>
      <c r="AB56" s="104">
        <f>VLOOKUP(22,$A$4:$AZ$32,28,FALSE)</f>
        <v>185</v>
      </c>
      <c r="AC56" s="104">
        <f>VLOOKUP(22,$A$4:$AZ$32,29,FALSE)</f>
        <v>180</v>
      </c>
      <c r="AD56" s="104">
        <f>VLOOKUP(22,$A$4:$AZ$32,30,FALSE)</f>
        <v>181</v>
      </c>
      <c r="AE56" s="104">
        <f>VLOOKUP(22,$A$4:$AZ$32,31,FALSE)</f>
        <v>172</v>
      </c>
      <c r="AF56" s="104">
        <f>VLOOKUP(22,$A$4:$AZ$32,32,FALSE)</f>
        <v>187</v>
      </c>
      <c r="AG56" s="104">
        <f>VLOOKUP(22,$A$4:$AZ$32,33,FALSE)</f>
        <v>171</v>
      </c>
      <c r="AH56" s="104">
        <f>VLOOKUP(22,$A$4:$AZ$32,34,FALSE)</f>
        <v>150</v>
      </c>
      <c r="AI56" s="104">
        <f>VLOOKUP(22,$A$4:$AZ$32,35,FALSE)</f>
        <v>183</v>
      </c>
    </row>
    <row r="57" spans="1:35" ht="25.5">
      <c r="A57">
        <v>23</v>
      </c>
      <c r="B57" s="78" t="s">
        <v>100</v>
      </c>
      <c r="C57" s="104">
        <f>VLOOKUP(23,$A$4:$AZ$32,3,FALSE)</f>
        <v>66</v>
      </c>
      <c r="D57" s="104">
        <f>VLOOKUP(23,$A$4:$AZ$32,4,FALSE)</f>
        <v>90</v>
      </c>
      <c r="E57" s="104">
        <f>VLOOKUP(23,$A$4:$AZ$32,5,FALSE)</f>
        <v>87</v>
      </c>
      <c r="F57" s="104">
        <f>VLOOKUP(23,$A$4:$AZ$32,6,FALSE)</f>
        <v>77</v>
      </c>
      <c r="G57" s="104">
        <f>VLOOKUP(23,$A$4:$AZ$32,7,FALSE)</f>
        <v>80</v>
      </c>
      <c r="H57" s="104">
        <f>VLOOKUP(23,$A$4:$AZ$32,8,FALSE)</f>
        <v>81</v>
      </c>
      <c r="I57" s="104">
        <f>VLOOKUP(23,$A$4:$AZ$32,9,FALSE)</f>
        <v>82</v>
      </c>
      <c r="J57" s="104">
        <f>VLOOKUP(23,$A$4:$AZ$32,10,FALSE)</f>
        <v>81</v>
      </c>
      <c r="K57" s="104">
        <f>VLOOKUP(23,$A$4:$AZ$32,11,FALSE)</f>
        <v>77</v>
      </c>
      <c r="L57" s="104">
        <f>VLOOKUP(23,$A$4:$AZ$32,12,FALSE)</f>
        <v>82</v>
      </c>
      <c r="M57" s="104">
        <f>VLOOKUP(23,$A$4:$AZ$32,13,FALSE)</f>
        <v>97</v>
      </c>
      <c r="N57" s="104">
        <f>VLOOKUP(23,$A$4:$AZ$32,14,FALSE)</f>
        <v>81</v>
      </c>
      <c r="O57" s="104">
        <f>VLOOKUP(23,$A$4:$AZ$32,15,FALSE)</f>
        <v>94</v>
      </c>
      <c r="P57" s="104">
        <f>VLOOKUP(23,$A$4:$AZ$32,16,FALSE)</f>
        <v>94</v>
      </c>
      <c r="Q57" s="104">
        <f>VLOOKUP(23,$A$4:$AZ$32,17,FALSE)</f>
        <v>72</v>
      </c>
      <c r="R57" s="104">
        <f>VLOOKUP(23,$A$4:$AZ$32,18,FALSE)</f>
        <v>83</v>
      </c>
      <c r="S57" s="104">
        <f>VLOOKUP(23,$A$4:$AZ$32,19,FALSE)</f>
        <v>95</v>
      </c>
      <c r="T57" s="104">
        <f>VLOOKUP(23,$A$4:$AZ$32,20,FALSE)</f>
        <v>87</v>
      </c>
      <c r="U57" s="104">
        <f>VLOOKUP(23,$A$4:$AZ$32,21,FALSE)</f>
        <v>88</v>
      </c>
      <c r="V57" s="104">
        <f>VLOOKUP(23,$A$4:$AZ$32,22,FALSE)</f>
        <v>102</v>
      </c>
      <c r="W57" s="104">
        <f>VLOOKUP(23,$A$4:$AZ$32,23,FALSE)</f>
        <v>105</v>
      </c>
      <c r="X57" s="104">
        <f>VLOOKUP(23,$A$4:$AZ$32,24,FALSE)</f>
        <v>87</v>
      </c>
      <c r="Y57" s="104">
        <f>VLOOKUP(23,$A$4:$AZ$32,25,FALSE)</f>
        <v>95</v>
      </c>
      <c r="Z57" s="104">
        <f>VLOOKUP(23,$A$4:$AZ$32,26,FALSE)</f>
        <v>84</v>
      </c>
      <c r="AA57" s="104">
        <f>VLOOKUP(23,$A$4:$AZ$32,27,FALSE)</f>
        <v>90</v>
      </c>
      <c r="AB57" s="104">
        <f>VLOOKUP(23,$A$4:$AZ$32,28,FALSE)</f>
        <v>89</v>
      </c>
      <c r="AC57" s="104">
        <f>VLOOKUP(23,$A$4:$AZ$32,29,FALSE)</f>
        <v>95</v>
      </c>
      <c r="AD57" s="104">
        <f>VLOOKUP(23,$A$4:$AZ$32,30,FALSE)</f>
        <v>98</v>
      </c>
      <c r="AE57" s="104">
        <f>VLOOKUP(23,$A$4:$AZ$32,31,FALSE)</f>
        <v>85</v>
      </c>
      <c r="AF57" s="104">
        <f>VLOOKUP(23,$A$4:$AZ$32,32,FALSE)</f>
        <v>107</v>
      </c>
      <c r="AG57" s="104">
        <f>VLOOKUP(23,$A$4:$AZ$32,33,FALSE)</f>
        <v>76</v>
      </c>
      <c r="AH57" s="104">
        <f>VLOOKUP(23,$A$4:$AZ$32,34,FALSE)</f>
        <v>100</v>
      </c>
      <c r="AI57" s="104">
        <f>VLOOKUP(23,$A$4:$AZ$32,35,FALSE)</f>
        <v>92</v>
      </c>
    </row>
    <row r="58" spans="1:35" ht="25.5">
      <c r="A58">
        <v>24</v>
      </c>
      <c r="B58" s="78" t="s">
        <v>101</v>
      </c>
      <c r="C58" s="104">
        <f>VLOOKUP(24,$A$4:$AZ$32,3,FALSE)</f>
        <v>35</v>
      </c>
      <c r="D58" s="104">
        <f>VLOOKUP(24,$A$4:$AZ$32,4,FALSE)</f>
        <v>44</v>
      </c>
      <c r="E58" s="104">
        <f>VLOOKUP(24,$A$4:$AZ$32,5,FALSE)</f>
        <v>36</v>
      </c>
      <c r="F58" s="104">
        <f>VLOOKUP(24,$A$4:$AZ$32,6,FALSE)</f>
        <v>33</v>
      </c>
      <c r="G58" s="104">
        <f>VLOOKUP(24,$A$4:$AZ$32,7,FALSE)</f>
        <v>34</v>
      </c>
      <c r="H58" s="104">
        <f>VLOOKUP(24,$A$4:$AZ$32,8,FALSE)</f>
        <v>28</v>
      </c>
      <c r="I58" s="104">
        <f>VLOOKUP(24,$A$4:$AZ$32,9,FALSE)</f>
        <v>29</v>
      </c>
      <c r="J58" s="104">
        <f>VLOOKUP(24,$A$4:$AZ$32,10,FALSE)</f>
        <v>27</v>
      </c>
      <c r="K58" s="104">
        <f>VLOOKUP(24,$A$4:$AZ$32,11,FALSE)</f>
        <v>34</v>
      </c>
      <c r="L58" s="104">
        <f>VLOOKUP(24,$A$4:$AZ$32,12,FALSE)</f>
        <v>25</v>
      </c>
      <c r="M58" s="104">
        <f>VLOOKUP(24,$A$4:$AZ$32,13,FALSE)</f>
        <v>33</v>
      </c>
      <c r="N58" s="104">
        <f>VLOOKUP(24,$A$4:$AZ$32,14,FALSE)</f>
        <v>31</v>
      </c>
      <c r="O58" s="104">
        <f>VLOOKUP(24,$A$4:$AZ$32,15,FALSE)</f>
        <v>30</v>
      </c>
      <c r="P58" s="104">
        <f>VLOOKUP(24,$A$4:$AZ$32,16,FALSE)</f>
        <v>26</v>
      </c>
      <c r="Q58" s="104">
        <f>VLOOKUP(24,$A$4:$AZ$32,17,FALSE)</f>
        <v>26</v>
      </c>
      <c r="R58" s="104">
        <f>VLOOKUP(24,$A$4:$AZ$32,18,FALSE)</f>
        <v>28</v>
      </c>
      <c r="S58" s="104">
        <f>VLOOKUP(24,$A$4:$AZ$32,19,FALSE)</f>
        <v>25</v>
      </c>
      <c r="T58" s="104">
        <f>VLOOKUP(24,$A$4:$AZ$32,20,FALSE)</f>
        <v>31</v>
      </c>
      <c r="U58" s="104">
        <f>VLOOKUP(24,$A$4:$AZ$32,21,FALSE)</f>
        <v>29</v>
      </c>
      <c r="V58" s="104">
        <f>VLOOKUP(24,$A$4:$AZ$32,22,FALSE)</f>
        <v>33</v>
      </c>
      <c r="W58" s="104">
        <f>VLOOKUP(24,$A$4:$AZ$32,23,FALSE)</f>
        <v>31</v>
      </c>
      <c r="X58" s="104">
        <f>VLOOKUP(24,$A$4:$AZ$32,24,FALSE)</f>
        <v>27</v>
      </c>
      <c r="Y58" s="104">
        <f>VLOOKUP(24,$A$4:$AZ$32,25,FALSE)</f>
        <v>29</v>
      </c>
      <c r="Z58" s="104">
        <f>VLOOKUP(24,$A$4:$AZ$32,26,FALSE)</f>
        <v>19</v>
      </c>
      <c r="AA58" s="104">
        <f>VLOOKUP(24,$A$4:$AZ$32,27,FALSE)</f>
        <v>28</v>
      </c>
      <c r="AB58" s="104">
        <f>VLOOKUP(24,$A$4:$AZ$32,28,FALSE)</f>
        <v>25</v>
      </c>
      <c r="AC58" s="104">
        <f>VLOOKUP(24,$A$4:$AZ$32,29,FALSE)</f>
        <v>28</v>
      </c>
      <c r="AD58" s="104">
        <f>VLOOKUP(24,$A$4:$AZ$32,30,FALSE)</f>
        <v>30</v>
      </c>
      <c r="AE58" s="104">
        <f>VLOOKUP(24,$A$4:$AZ$32,31,FALSE)</f>
        <v>24</v>
      </c>
      <c r="AF58" s="104">
        <f>VLOOKUP(24,$A$4:$AZ$32,32,FALSE)</f>
        <v>32</v>
      </c>
      <c r="AG58" s="104">
        <f>VLOOKUP(24,$A$4:$AZ$32,33,FALSE)</f>
        <v>33</v>
      </c>
      <c r="AH58" s="104">
        <f>VLOOKUP(24,$A$4:$AZ$32,34,FALSE)</f>
        <v>35</v>
      </c>
      <c r="AI58" s="104">
        <f>VLOOKUP(24,$A$4:$AZ$32,35,FALSE)</f>
        <v>30</v>
      </c>
    </row>
    <row r="59" spans="1:35" ht="25.5">
      <c r="A59">
        <v>25</v>
      </c>
      <c r="B59" s="78" t="s">
        <v>102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99</v>
      </c>
      <c r="Z59" s="104">
        <f>VLOOKUP(25,$A$4:$AZ$32,26,FALSE)</f>
        <v>245</v>
      </c>
      <c r="AA59" s="104">
        <f>VLOOKUP(25,$A$4:$AZ$32,27,FALSE)</f>
        <v>429</v>
      </c>
      <c r="AB59" s="104">
        <f>VLOOKUP(25,$A$4:$AZ$32,28,FALSE)</f>
        <v>588</v>
      </c>
      <c r="AC59" s="104">
        <f>VLOOKUP(25,$A$4:$AZ$32,29,FALSE)</f>
        <v>651</v>
      </c>
      <c r="AD59" s="104">
        <f>VLOOKUP(25,$A$4:$AZ$32,30,FALSE)</f>
        <v>731</v>
      </c>
      <c r="AE59" s="104">
        <f>VLOOKUP(25,$A$4:$AZ$32,31,FALSE)</f>
        <v>747</v>
      </c>
      <c r="AF59" s="104">
        <f>VLOOKUP(25,$A$4:$AZ$32,32,FALSE)</f>
        <v>832</v>
      </c>
      <c r="AG59" s="104">
        <f>VLOOKUP(25,$A$4:$AZ$32,33,FALSE)</f>
        <v>843</v>
      </c>
      <c r="AH59" s="104">
        <f>VLOOKUP(25,$A$4:$AZ$32,34,FALSE)</f>
        <v>805</v>
      </c>
      <c r="AI59" s="104">
        <f>VLOOKUP(25,$A$4:$AZ$32,35,FALSE)</f>
        <v>961</v>
      </c>
    </row>
    <row r="60" spans="1:35" ht="25.5">
      <c r="A60">
        <v>26</v>
      </c>
      <c r="B60" s="78" t="s">
        <v>103</v>
      </c>
      <c r="C60" s="104">
        <f>VLOOKUP(26,$A$4:$AZ$32,3,FALSE)</f>
        <v>1232</v>
      </c>
      <c r="D60" s="104">
        <f>VLOOKUP(26,$A$4:$AZ$32,4,FALSE)</f>
        <v>1518</v>
      </c>
      <c r="E60" s="104">
        <f>VLOOKUP(26,$A$4:$AZ$32,5,FALSE)</f>
        <v>1431</v>
      </c>
      <c r="F60" s="104">
        <f>VLOOKUP(26,$A$4:$AZ$32,6,FALSE)</f>
        <v>1369</v>
      </c>
      <c r="G60" s="104">
        <f>VLOOKUP(26,$A$4:$AZ$32,7,FALSE)</f>
        <v>1407</v>
      </c>
      <c r="H60" s="104">
        <f>VLOOKUP(26,$A$4:$AZ$32,8,FALSE)</f>
        <v>1391</v>
      </c>
      <c r="I60" s="104">
        <f>VLOOKUP(26,$A$4:$AZ$32,9,FALSE)</f>
        <v>1494</v>
      </c>
      <c r="J60" s="104">
        <f>VLOOKUP(26,$A$4:$AZ$32,10,FALSE)</f>
        <v>1571</v>
      </c>
      <c r="K60" s="104">
        <f>VLOOKUP(26,$A$4:$AZ$32,11,FALSE)</f>
        <v>1505</v>
      </c>
      <c r="L60" s="104">
        <f>VLOOKUP(26,$A$4:$AZ$32,12,FALSE)</f>
        <v>1436</v>
      </c>
      <c r="M60" s="104">
        <f>VLOOKUP(26,$A$4:$AZ$32,13,FALSE)</f>
        <v>1651</v>
      </c>
      <c r="N60" s="104">
        <f>VLOOKUP(26,$A$4:$AZ$32,14,FALSE)</f>
        <v>1565</v>
      </c>
      <c r="O60" s="104">
        <f>VLOOKUP(26,$A$4:$AZ$32,15,FALSE)</f>
        <v>1617</v>
      </c>
      <c r="P60" s="104">
        <f>VLOOKUP(26,$A$4:$AZ$32,16,FALSE)</f>
        <v>1605</v>
      </c>
      <c r="Q60" s="104">
        <f>VLOOKUP(26,$A$4:$AZ$32,17,FALSE)</f>
        <v>1514</v>
      </c>
      <c r="R60" s="104">
        <f>VLOOKUP(26,$A$4:$AZ$32,18,FALSE)</f>
        <v>1648</v>
      </c>
      <c r="S60" s="104">
        <f>VLOOKUP(26,$A$4:$AZ$32,19,FALSE)</f>
        <v>1592</v>
      </c>
      <c r="T60" s="104">
        <f>VLOOKUP(26,$A$4:$AZ$32,20,FALSE)</f>
        <v>1576</v>
      </c>
      <c r="U60" s="104">
        <f>VLOOKUP(26,$A$4:$AZ$32,21,FALSE)</f>
        <v>1622</v>
      </c>
      <c r="V60" s="104">
        <f>VLOOKUP(26,$A$4:$AZ$32,22,FALSE)</f>
        <v>1669</v>
      </c>
      <c r="W60" s="104">
        <f>VLOOKUP(26,$A$4:$AZ$32,23,FALSE)</f>
        <v>1581</v>
      </c>
      <c r="X60" s="104">
        <f>VLOOKUP(26,$A$4:$AZ$32,24,FALSE)</f>
        <v>1517</v>
      </c>
      <c r="Y60" s="104">
        <f>VLOOKUP(26,$A$4:$AZ$32,25,FALSE)</f>
        <v>1612</v>
      </c>
      <c r="Z60" s="104">
        <f>VLOOKUP(26,$A$4:$AZ$32,26,FALSE)</f>
        <v>1256</v>
      </c>
      <c r="AA60" s="104">
        <f>VLOOKUP(26,$A$4:$AZ$32,27,FALSE)</f>
        <v>1230</v>
      </c>
      <c r="AB60" s="104">
        <f>VLOOKUP(26,$A$4:$AZ$32,28,FALSE)</f>
        <v>1175</v>
      </c>
      <c r="AC60" s="104">
        <f>VLOOKUP(26,$A$4:$AZ$32,29,FALSE)</f>
        <v>1001</v>
      </c>
      <c r="AD60" s="104">
        <f>VLOOKUP(26,$A$4:$AZ$32,30,FALSE)</f>
        <v>1053</v>
      </c>
      <c r="AE60" s="104">
        <f>VLOOKUP(26,$A$4:$AZ$32,31,FALSE)</f>
        <v>908</v>
      </c>
      <c r="AF60" s="104">
        <f>VLOOKUP(26,$A$4:$AZ$32,32,FALSE)</f>
        <v>1012</v>
      </c>
      <c r="AG60" s="104">
        <f>VLOOKUP(26,$A$4:$AZ$32,33,FALSE)</f>
        <v>900</v>
      </c>
      <c r="AH60" s="104">
        <f>VLOOKUP(26,$A$4:$AZ$32,34,FALSE)</f>
        <v>877</v>
      </c>
      <c r="AI60" s="104">
        <f>VLOOKUP(26,$A$4:$AZ$32,35,FALSE)</f>
        <v>980</v>
      </c>
    </row>
    <row r="61" spans="1:35" ht="25.5">
      <c r="A61">
        <v>27</v>
      </c>
      <c r="B61" s="78" t="s">
        <v>104</v>
      </c>
      <c r="C61" s="104">
        <f>VLOOKUP(27,$A$4:$AZ$32,3,FALSE)</f>
        <v>740</v>
      </c>
      <c r="D61" s="104">
        <f>VLOOKUP(27,$A$4:$AZ$32,4,FALSE)</f>
        <v>906</v>
      </c>
      <c r="E61" s="104">
        <f>VLOOKUP(27,$A$4:$AZ$32,5,FALSE)</f>
        <v>849</v>
      </c>
      <c r="F61" s="104">
        <f>VLOOKUP(27,$A$4:$AZ$32,6,FALSE)</f>
        <v>815</v>
      </c>
      <c r="G61" s="104">
        <f>VLOOKUP(27,$A$4:$AZ$32,7,FALSE)</f>
        <v>825</v>
      </c>
      <c r="H61" s="104">
        <f>VLOOKUP(27,$A$4:$AZ$32,8,FALSE)</f>
        <v>823</v>
      </c>
      <c r="I61" s="104">
        <f>VLOOKUP(27,$A$4:$AZ$32,9,FALSE)</f>
        <v>839</v>
      </c>
      <c r="J61" s="104">
        <f>VLOOKUP(27,$A$4:$AZ$32,10,FALSE)</f>
        <v>865</v>
      </c>
      <c r="K61" s="104">
        <f>VLOOKUP(27,$A$4:$AZ$32,11,FALSE)</f>
        <v>803</v>
      </c>
      <c r="L61" s="104">
        <f>VLOOKUP(27,$A$4:$AZ$32,12,FALSE)</f>
        <v>737</v>
      </c>
      <c r="M61" s="104">
        <f>VLOOKUP(27,$A$4:$AZ$32,13,FALSE)</f>
        <v>850</v>
      </c>
      <c r="N61" s="104">
        <f>VLOOKUP(27,$A$4:$AZ$32,14,FALSE)</f>
        <v>818</v>
      </c>
      <c r="O61" s="104">
        <f>VLOOKUP(27,$A$4:$AZ$32,15,FALSE)</f>
        <v>853</v>
      </c>
      <c r="P61" s="104">
        <f>VLOOKUP(27,$A$4:$AZ$32,16,FALSE)</f>
        <v>791</v>
      </c>
      <c r="Q61" s="104">
        <f>VLOOKUP(27,$A$4:$AZ$32,17,FALSE)</f>
        <v>767</v>
      </c>
      <c r="R61" s="104">
        <f>VLOOKUP(27,$A$4:$AZ$32,18,FALSE)</f>
        <v>797</v>
      </c>
      <c r="S61" s="104">
        <f>VLOOKUP(27,$A$4:$AZ$32,19,FALSE)</f>
        <v>794</v>
      </c>
      <c r="T61" s="104">
        <f>VLOOKUP(27,$A$4:$AZ$32,20,FALSE)</f>
        <v>754</v>
      </c>
      <c r="U61" s="104">
        <f>VLOOKUP(27,$A$4:$AZ$32,21,FALSE)</f>
        <v>819</v>
      </c>
      <c r="V61" s="104">
        <f>VLOOKUP(27,$A$4:$AZ$32,22,FALSE)</f>
        <v>801</v>
      </c>
      <c r="W61" s="104">
        <f>VLOOKUP(27,$A$4:$AZ$32,23,FALSE)</f>
        <v>782</v>
      </c>
      <c r="X61" s="104">
        <f>VLOOKUP(27,$A$4:$AZ$32,24,FALSE)</f>
        <v>747</v>
      </c>
      <c r="Y61" s="104">
        <f>VLOOKUP(27,$A$4:$AZ$32,25,FALSE)</f>
        <v>809</v>
      </c>
      <c r="Z61" s="104">
        <f>VLOOKUP(27,$A$4:$AZ$32,26,FALSE)</f>
        <v>705</v>
      </c>
      <c r="AA61" s="104">
        <f>VLOOKUP(27,$A$4:$AZ$32,27,FALSE)</f>
        <v>754</v>
      </c>
      <c r="AB61" s="104">
        <f>VLOOKUP(27,$A$4:$AZ$32,28,FALSE)</f>
        <v>742</v>
      </c>
      <c r="AC61" s="104">
        <f>VLOOKUP(27,$A$4:$AZ$32,29,FALSE)</f>
        <v>674</v>
      </c>
      <c r="AD61" s="104">
        <f>VLOOKUP(27,$A$4:$AZ$32,30,FALSE)</f>
        <v>691</v>
      </c>
      <c r="AE61" s="104">
        <f>VLOOKUP(27,$A$4:$AZ$32,31,FALSE)</f>
        <v>639</v>
      </c>
      <c r="AF61" s="104">
        <f>VLOOKUP(27,$A$4:$AZ$32,32,FALSE)</f>
        <v>710</v>
      </c>
      <c r="AG61" s="104">
        <f>VLOOKUP(27,$A$4:$AZ$32,33,FALSE)</f>
        <v>650</v>
      </c>
      <c r="AH61" s="104">
        <f>VLOOKUP(27,$A$4:$AZ$32,34,FALSE)</f>
        <v>631</v>
      </c>
      <c r="AI61" s="104">
        <f>VLOOKUP(27,$A$4:$AZ$32,35,FALSE)</f>
        <v>725</v>
      </c>
    </row>
    <row r="62" spans="1:35" ht="25.5">
      <c r="A62">
        <v>28</v>
      </c>
      <c r="B62" s="78" t="s">
        <v>105</v>
      </c>
      <c r="C62" s="104">
        <f>VLOOKUP(28,$A$4:$AZ$32,3,FALSE)</f>
        <v>322</v>
      </c>
      <c r="D62" s="104">
        <f>VLOOKUP(28,$A$4:$AZ$32,4,FALSE)</f>
        <v>381</v>
      </c>
      <c r="E62" s="104">
        <f>VLOOKUP(28,$A$4:$AZ$32,5,FALSE)</f>
        <v>349</v>
      </c>
      <c r="F62" s="104">
        <f>VLOOKUP(28,$A$4:$AZ$32,6,FALSE)</f>
        <v>352</v>
      </c>
      <c r="G62" s="104">
        <f>VLOOKUP(28,$A$4:$AZ$32,7,FALSE)</f>
        <v>362</v>
      </c>
      <c r="H62" s="104">
        <f>VLOOKUP(28,$A$4:$AZ$32,8,FALSE)</f>
        <v>368</v>
      </c>
      <c r="I62" s="104">
        <f>VLOOKUP(28,$A$4:$AZ$32,9,FALSE)</f>
        <v>359</v>
      </c>
      <c r="J62" s="104">
        <f>VLOOKUP(28,$A$4:$AZ$32,10,FALSE)</f>
        <v>364</v>
      </c>
      <c r="K62" s="104">
        <f>VLOOKUP(28,$A$4:$AZ$32,11,FALSE)</f>
        <v>338</v>
      </c>
      <c r="L62" s="104">
        <f>VLOOKUP(28,$A$4:$AZ$32,12,FALSE)</f>
        <v>322</v>
      </c>
      <c r="M62" s="104">
        <f>VLOOKUP(28,$A$4:$AZ$32,13,FALSE)</f>
        <v>381</v>
      </c>
      <c r="N62" s="104">
        <f>VLOOKUP(28,$A$4:$AZ$32,14,FALSE)</f>
        <v>347</v>
      </c>
      <c r="O62" s="104">
        <f>VLOOKUP(28,$A$4:$AZ$32,15,FALSE)</f>
        <v>354</v>
      </c>
      <c r="P62" s="104">
        <f>VLOOKUP(28,$A$4:$AZ$32,16,FALSE)</f>
        <v>358</v>
      </c>
      <c r="Q62" s="104">
        <f>VLOOKUP(28,$A$4:$AZ$32,17,FALSE)</f>
        <v>329</v>
      </c>
      <c r="R62" s="104">
        <f>VLOOKUP(28,$A$4:$AZ$32,18,FALSE)</f>
        <v>340</v>
      </c>
      <c r="S62" s="104">
        <f>VLOOKUP(28,$A$4:$AZ$32,19,FALSE)</f>
        <v>338</v>
      </c>
      <c r="T62" s="104">
        <f>VLOOKUP(28,$A$4:$AZ$32,20,FALSE)</f>
        <v>337</v>
      </c>
      <c r="U62" s="104">
        <f>VLOOKUP(28,$A$4:$AZ$32,21,FALSE)</f>
        <v>347</v>
      </c>
      <c r="V62" s="104">
        <f>VLOOKUP(28,$A$4:$AZ$32,22,FALSE)</f>
        <v>343</v>
      </c>
      <c r="W62" s="104">
        <f>VLOOKUP(28,$A$4:$AZ$32,23,FALSE)</f>
        <v>355</v>
      </c>
      <c r="X62" s="104">
        <f>VLOOKUP(28,$A$4:$AZ$32,24,FALSE)</f>
        <v>291</v>
      </c>
      <c r="Y62" s="104">
        <f>VLOOKUP(28,$A$4:$AZ$32,25,FALSE)</f>
        <v>356</v>
      </c>
      <c r="Z62" s="104">
        <f>VLOOKUP(28,$A$4:$AZ$32,26,FALSE)</f>
        <v>284</v>
      </c>
      <c r="AA62" s="104">
        <f>VLOOKUP(28,$A$4:$AZ$32,27,FALSE)</f>
        <v>331</v>
      </c>
      <c r="AB62" s="104">
        <f>VLOOKUP(28,$A$4:$AZ$32,28,FALSE)</f>
        <v>342</v>
      </c>
      <c r="AC62" s="104">
        <f>VLOOKUP(28,$A$4:$AZ$32,29,FALSE)</f>
        <v>305</v>
      </c>
      <c r="AD62" s="104">
        <f>VLOOKUP(28,$A$4:$AZ$32,30,FALSE)</f>
        <v>325</v>
      </c>
      <c r="AE62" s="104">
        <f>VLOOKUP(28,$A$4:$AZ$32,31,FALSE)</f>
        <v>294</v>
      </c>
      <c r="AF62" s="104">
        <f>VLOOKUP(28,$A$4:$AZ$32,32,FALSE)</f>
        <v>330</v>
      </c>
      <c r="AG62" s="104">
        <f>VLOOKUP(28,$A$4:$AZ$32,33,FALSE)</f>
        <v>292</v>
      </c>
      <c r="AH62" s="104">
        <f>VLOOKUP(28,$A$4:$AZ$32,34,FALSE)</f>
        <v>297</v>
      </c>
      <c r="AI62" s="104">
        <f>VLOOKUP(28,$A$4:$AZ$32,35,FALSE)</f>
        <v>324</v>
      </c>
    </row>
    <row r="63" spans="1:35" ht="12.75">
      <c r="A63">
        <v>29</v>
      </c>
      <c r="B63" s="78" t="s">
        <v>108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2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AI73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6</v>
      </c>
      <c r="W66" s="100">
        <f t="shared" si="0"/>
        <v>5</v>
      </c>
      <c r="X66" s="100">
        <f t="shared" si="0"/>
        <v>13</v>
      </c>
      <c r="Y66" s="100">
        <f t="shared" si="0"/>
        <v>19</v>
      </c>
      <c r="Z66" s="100">
        <f t="shared" si="0"/>
        <v>15</v>
      </c>
      <c r="AA66" s="100">
        <f t="shared" si="0"/>
        <v>27</v>
      </c>
      <c r="AB66" s="100">
        <f t="shared" si="0"/>
        <v>30</v>
      </c>
      <c r="AC66" s="100">
        <f t="shared" si="0"/>
        <v>33</v>
      </c>
      <c r="AD66" s="100">
        <f t="shared" si="0"/>
        <v>31</v>
      </c>
      <c r="AE66" s="100">
        <f t="shared" si="0"/>
        <v>36</v>
      </c>
      <c r="AF66" s="100">
        <f t="shared" si="0"/>
        <v>35</v>
      </c>
      <c r="AG66" s="100">
        <f t="shared" si="0"/>
        <v>45</v>
      </c>
      <c r="AH66" s="100">
        <f t="shared" si="0"/>
        <v>17</v>
      </c>
      <c r="AI66" s="100">
        <f t="shared" si="0"/>
        <v>46</v>
      </c>
    </row>
    <row r="67" spans="2:35" ht="12.75">
      <c r="B67" s="101" t="s">
        <v>2</v>
      </c>
      <c r="C67" s="100">
        <f t="shared" si="0"/>
        <v>1203</v>
      </c>
      <c r="D67" s="100">
        <f t="shared" si="0"/>
        <v>1580</v>
      </c>
      <c r="E67" s="100">
        <f t="shared" si="0"/>
        <v>1388</v>
      </c>
      <c r="F67" s="100">
        <f t="shared" si="0"/>
        <v>1437</v>
      </c>
      <c r="G67" s="100">
        <f t="shared" si="0"/>
        <v>1385</v>
      </c>
      <c r="H67" s="100">
        <f t="shared" si="0"/>
        <v>1399</v>
      </c>
      <c r="I67" s="100">
        <f t="shared" si="0"/>
        <v>1444</v>
      </c>
      <c r="J67" s="100">
        <f t="shared" si="0"/>
        <v>1472</v>
      </c>
      <c r="K67" s="100">
        <f t="shared" si="0"/>
        <v>1401</v>
      </c>
      <c r="L67" s="100">
        <f t="shared" si="0"/>
        <v>1250</v>
      </c>
      <c r="M67" s="100">
        <f t="shared" si="0"/>
        <v>1523</v>
      </c>
      <c r="N67" s="100">
        <f t="shared" si="0"/>
        <v>1402</v>
      </c>
      <c r="O67" s="100">
        <f t="shared" si="0"/>
        <v>1491</v>
      </c>
      <c r="P67" s="100">
        <f t="shared" si="0"/>
        <v>1423</v>
      </c>
      <c r="Q67" s="100">
        <f t="shared" si="0"/>
        <v>1391</v>
      </c>
      <c r="R67" s="100">
        <f t="shared" si="0"/>
        <v>1555</v>
      </c>
      <c r="S67" s="100">
        <f t="shared" si="0"/>
        <v>1576</v>
      </c>
      <c r="T67" s="100">
        <f t="shared" si="0"/>
        <v>1617</v>
      </c>
      <c r="U67" s="100">
        <f t="shared" si="0"/>
        <v>1627</v>
      </c>
      <c r="V67" s="100">
        <f t="shared" si="0"/>
        <v>1702</v>
      </c>
      <c r="W67" s="100">
        <f t="shared" si="0"/>
        <v>1667</v>
      </c>
      <c r="X67" s="100">
        <f t="shared" si="0"/>
        <v>1566</v>
      </c>
      <c r="Y67" s="100">
        <f t="shared" si="0"/>
        <v>1777</v>
      </c>
      <c r="Z67" s="100">
        <f t="shared" si="0"/>
        <v>1574</v>
      </c>
      <c r="AA67" s="100">
        <f t="shared" si="0"/>
        <v>1780</v>
      </c>
      <c r="AB67" s="100">
        <f t="shared" si="0"/>
        <v>1735</v>
      </c>
      <c r="AC67" s="100">
        <f t="shared" si="0"/>
        <v>1666</v>
      </c>
      <c r="AD67" s="100">
        <f t="shared" si="0"/>
        <v>1724</v>
      </c>
      <c r="AE67" s="100">
        <f t="shared" si="0"/>
        <v>1709</v>
      </c>
      <c r="AF67" s="100">
        <f t="shared" si="0"/>
        <v>1878</v>
      </c>
      <c r="AG67" s="100">
        <f t="shared" si="0"/>
        <v>1769</v>
      </c>
      <c r="AH67" s="100">
        <f t="shared" si="0"/>
        <v>1741</v>
      </c>
      <c r="AI67" s="100">
        <f t="shared" si="0"/>
        <v>1992</v>
      </c>
    </row>
    <row r="68" spans="2:35" ht="12.75">
      <c r="B68" s="101" t="s">
        <v>3</v>
      </c>
      <c r="C68" s="100">
        <f t="shared" si="0"/>
        <v>192</v>
      </c>
      <c r="D68" s="100">
        <f t="shared" si="0"/>
        <v>253</v>
      </c>
      <c r="E68" s="100">
        <f t="shared" si="0"/>
        <v>213</v>
      </c>
      <c r="F68" s="100">
        <f t="shared" si="0"/>
        <v>221</v>
      </c>
      <c r="G68" s="100">
        <f t="shared" si="0"/>
        <v>228</v>
      </c>
      <c r="H68" s="100">
        <f t="shared" si="0"/>
        <v>207</v>
      </c>
      <c r="I68" s="100">
        <f t="shared" si="0"/>
        <v>239</v>
      </c>
      <c r="J68" s="100">
        <f t="shared" si="0"/>
        <v>261</v>
      </c>
      <c r="K68" s="100">
        <f t="shared" si="0"/>
        <v>251</v>
      </c>
      <c r="L68" s="100">
        <f t="shared" si="0"/>
        <v>239</v>
      </c>
      <c r="M68" s="100">
        <f t="shared" si="0"/>
        <v>264</v>
      </c>
      <c r="N68" s="100">
        <f t="shared" si="0"/>
        <v>256</v>
      </c>
      <c r="O68" s="100">
        <f t="shared" si="0"/>
        <v>274</v>
      </c>
      <c r="P68" s="100">
        <f t="shared" si="0"/>
        <v>285</v>
      </c>
      <c r="Q68" s="100">
        <f t="shared" si="0"/>
        <v>267</v>
      </c>
      <c r="R68" s="100">
        <f t="shared" si="0"/>
        <v>294</v>
      </c>
      <c r="S68" s="100">
        <f t="shared" si="0"/>
        <v>288</v>
      </c>
      <c r="T68" s="100">
        <f t="shared" si="0"/>
        <v>296</v>
      </c>
      <c r="U68" s="100">
        <f t="shared" si="0"/>
        <v>321</v>
      </c>
      <c r="V68" s="100">
        <f t="shared" si="0"/>
        <v>346</v>
      </c>
      <c r="W68" s="100">
        <f t="shared" si="0"/>
        <v>321</v>
      </c>
      <c r="X68" s="100">
        <f t="shared" si="0"/>
        <v>301</v>
      </c>
      <c r="Y68" s="100">
        <f t="shared" si="0"/>
        <v>332</v>
      </c>
      <c r="Z68" s="100">
        <f t="shared" si="0"/>
        <v>294</v>
      </c>
      <c r="AA68" s="100">
        <f t="shared" si="0"/>
        <v>350</v>
      </c>
      <c r="AB68" s="100">
        <f t="shared" si="0"/>
        <v>332</v>
      </c>
      <c r="AC68" s="100">
        <f t="shared" si="0"/>
        <v>302</v>
      </c>
      <c r="AD68" s="100">
        <f t="shared" si="0"/>
        <v>328</v>
      </c>
      <c r="AE68" s="100">
        <f t="shared" si="0"/>
        <v>299</v>
      </c>
      <c r="AF68" s="100">
        <f t="shared" si="0"/>
        <v>349</v>
      </c>
      <c r="AG68" s="100">
        <f t="shared" si="0"/>
        <v>323</v>
      </c>
      <c r="AH68" s="100">
        <f t="shared" si="0"/>
        <v>302</v>
      </c>
      <c r="AI68" s="100">
        <f t="shared" si="0"/>
        <v>326</v>
      </c>
    </row>
    <row r="69" spans="2:35" ht="12.75">
      <c r="B69" s="101" t="s">
        <v>75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0"/>
        <v>0</v>
      </c>
      <c r="Z69" s="100">
        <f t="shared" si="0"/>
        <v>0</v>
      </c>
      <c r="AA69" s="100">
        <f t="shared" si="0"/>
        <v>0</v>
      </c>
      <c r="AB69" s="100">
        <f t="shared" si="0"/>
        <v>0</v>
      </c>
      <c r="AC69" s="100">
        <f t="shared" si="0"/>
        <v>0</v>
      </c>
      <c r="AD69" s="100">
        <f t="shared" si="0"/>
        <v>0</v>
      </c>
      <c r="AE69" s="100">
        <f t="shared" si="0"/>
        <v>7</v>
      </c>
      <c r="AF69" s="100">
        <f t="shared" si="0"/>
        <v>6</v>
      </c>
      <c r="AG69" s="100">
        <f t="shared" si="0"/>
        <v>21</v>
      </c>
      <c r="AH69" s="100">
        <f t="shared" si="0"/>
        <v>17</v>
      </c>
      <c r="AI69" s="100">
        <f t="shared" si="0"/>
        <v>30</v>
      </c>
    </row>
    <row r="70" spans="2:35" ht="12.75">
      <c r="B70" s="101" t="s">
        <v>4</v>
      </c>
      <c r="C70" s="100">
        <f t="shared" si="0"/>
        <v>2204</v>
      </c>
      <c r="D70" s="100">
        <f t="shared" si="0"/>
        <v>2750</v>
      </c>
      <c r="E70" s="100">
        <f t="shared" si="0"/>
        <v>2489</v>
      </c>
      <c r="F70" s="100">
        <f t="shared" si="0"/>
        <v>2519</v>
      </c>
      <c r="G70" s="100">
        <f t="shared" si="0"/>
        <v>2563</v>
      </c>
      <c r="H70" s="100">
        <f t="shared" si="0"/>
        <v>2611</v>
      </c>
      <c r="I70" s="100">
        <f t="shared" si="0"/>
        <v>2657</v>
      </c>
      <c r="J70" s="100">
        <f t="shared" si="0"/>
        <v>2699</v>
      </c>
      <c r="K70" s="100">
        <f t="shared" si="0"/>
        <v>2711</v>
      </c>
      <c r="L70" s="100">
        <f t="shared" si="0"/>
        <v>2434</v>
      </c>
      <c r="M70" s="100">
        <f t="shared" si="0"/>
        <v>2959</v>
      </c>
      <c r="N70" s="100">
        <f t="shared" si="0"/>
        <v>2782</v>
      </c>
      <c r="O70" s="100">
        <f t="shared" si="0"/>
        <v>2867</v>
      </c>
      <c r="P70" s="100">
        <f t="shared" si="0"/>
        <v>2702</v>
      </c>
      <c r="Q70" s="100">
        <f t="shared" si="0"/>
        <v>2577</v>
      </c>
      <c r="R70" s="100">
        <f t="shared" si="0"/>
        <v>2728</v>
      </c>
      <c r="S70" s="100">
        <f t="shared" si="0"/>
        <v>2720</v>
      </c>
      <c r="T70" s="100">
        <f t="shared" si="0"/>
        <v>2587</v>
      </c>
      <c r="U70" s="100">
        <f t="shared" si="0"/>
        <v>2694</v>
      </c>
      <c r="V70" s="100">
        <f t="shared" si="0"/>
        <v>2725</v>
      </c>
      <c r="W70" s="100">
        <f t="shared" si="0"/>
        <v>2630</v>
      </c>
      <c r="X70" s="100">
        <f t="shared" si="0"/>
        <v>2509</v>
      </c>
      <c r="Y70" s="100">
        <f t="shared" si="0"/>
        <v>2715</v>
      </c>
      <c r="Z70" s="100">
        <f t="shared" si="0"/>
        <v>2400</v>
      </c>
      <c r="AA70" s="100">
        <f t="shared" si="0"/>
        <v>2659</v>
      </c>
      <c r="AB70" s="100">
        <f t="shared" si="0"/>
        <v>2638</v>
      </c>
      <c r="AC70" s="100">
        <f t="shared" si="0"/>
        <v>2401</v>
      </c>
      <c r="AD70" s="100">
        <f t="shared" si="0"/>
        <v>2568</v>
      </c>
      <c r="AE70" s="100">
        <f t="shared" si="0"/>
        <v>2466</v>
      </c>
      <c r="AF70" s="100">
        <f t="shared" si="0"/>
        <v>2653</v>
      </c>
      <c r="AG70" s="100">
        <f t="shared" si="0"/>
        <v>2525</v>
      </c>
      <c r="AH70" s="100">
        <f t="shared" si="0"/>
        <v>2391</v>
      </c>
      <c r="AI70" s="100">
        <f t="shared" si="0"/>
        <v>2716</v>
      </c>
    </row>
    <row r="71" spans="2:35" ht="12.75">
      <c r="B71" s="101" t="s">
        <v>5</v>
      </c>
      <c r="C71" s="100">
        <f t="shared" si="0"/>
        <v>788</v>
      </c>
      <c r="D71" s="100">
        <f t="shared" si="0"/>
        <v>968</v>
      </c>
      <c r="E71" s="100">
        <f t="shared" si="0"/>
        <v>892</v>
      </c>
      <c r="F71" s="100">
        <f t="shared" si="0"/>
        <v>918</v>
      </c>
      <c r="G71" s="100">
        <f t="shared" si="0"/>
        <v>939</v>
      </c>
      <c r="H71" s="100">
        <f t="shared" si="0"/>
        <v>925</v>
      </c>
      <c r="I71" s="100">
        <f t="shared" si="0"/>
        <v>967</v>
      </c>
      <c r="J71" s="100">
        <f t="shared" si="0"/>
        <v>1019</v>
      </c>
      <c r="K71" s="100">
        <f t="shared" si="0"/>
        <v>999</v>
      </c>
      <c r="L71" s="100">
        <f t="shared" si="0"/>
        <v>928</v>
      </c>
      <c r="M71" s="100">
        <f t="shared" si="0"/>
        <v>1103</v>
      </c>
      <c r="N71" s="100">
        <f t="shared" si="0"/>
        <v>1064</v>
      </c>
      <c r="O71" s="100">
        <f t="shared" si="0"/>
        <v>1099</v>
      </c>
      <c r="P71" s="100">
        <f t="shared" si="0"/>
        <v>1079</v>
      </c>
      <c r="Q71" s="100">
        <f t="shared" si="0"/>
        <v>1000</v>
      </c>
      <c r="R71" s="100">
        <f t="shared" si="0"/>
        <v>1114</v>
      </c>
      <c r="S71" s="100">
        <f t="shared" si="0"/>
        <v>1089</v>
      </c>
      <c r="T71" s="100">
        <f t="shared" si="0"/>
        <v>1065</v>
      </c>
      <c r="U71" s="100">
        <f t="shared" si="0"/>
        <v>1082</v>
      </c>
      <c r="V71" s="100">
        <f t="shared" si="0"/>
        <v>1093</v>
      </c>
      <c r="W71" s="100">
        <f t="shared" si="0"/>
        <v>1083</v>
      </c>
      <c r="X71" s="100">
        <f t="shared" si="0"/>
        <v>997</v>
      </c>
      <c r="Y71" s="100">
        <f t="shared" si="0"/>
        <v>1107</v>
      </c>
      <c r="Z71" s="100">
        <f t="shared" si="0"/>
        <v>999</v>
      </c>
      <c r="AA71" s="100">
        <f t="shared" si="0"/>
        <v>1081</v>
      </c>
      <c r="AB71" s="100">
        <f t="shared" si="0"/>
        <v>1116</v>
      </c>
      <c r="AC71" s="100">
        <f t="shared" si="0"/>
        <v>974</v>
      </c>
      <c r="AD71" s="100">
        <f t="shared" si="0"/>
        <v>1102</v>
      </c>
      <c r="AE71" s="100">
        <f t="shared" si="0"/>
        <v>1013</v>
      </c>
      <c r="AF71" s="100">
        <f t="shared" si="0"/>
        <v>1084</v>
      </c>
      <c r="AG71" s="100">
        <f t="shared" si="0"/>
        <v>1003</v>
      </c>
      <c r="AH71" s="100">
        <f t="shared" si="0"/>
        <v>954</v>
      </c>
      <c r="AI71" s="100">
        <f t="shared" si="0"/>
        <v>1140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0"/>
        <v>0</v>
      </c>
      <c r="Z72" s="100">
        <f t="shared" si="0"/>
        <v>0</v>
      </c>
      <c r="AA72" s="100">
        <f t="shared" si="0"/>
        <v>0</v>
      </c>
      <c r="AB72" s="100">
        <f t="shared" si="0"/>
        <v>10</v>
      </c>
      <c r="AC72" s="100">
        <f t="shared" si="0"/>
        <v>16</v>
      </c>
      <c r="AD72" s="100">
        <f t="shared" si="0"/>
        <v>23</v>
      </c>
      <c r="AE72" s="100">
        <f t="shared" si="0"/>
        <v>35</v>
      </c>
      <c r="AF72" s="100">
        <f t="shared" si="0"/>
        <v>63</v>
      </c>
      <c r="AG72" s="100">
        <f t="shared" si="0"/>
        <v>85</v>
      </c>
      <c r="AH72" s="100">
        <f t="shared" si="0"/>
        <v>101</v>
      </c>
      <c r="AI72" s="100">
        <f t="shared" si="0"/>
        <v>120</v>
      </c>
    </row>
    <row r="73" spans="2:35" ht="12.75">
      <c r="B73" s="101" t="s">
        <v>6</v>
      </c>
      <c r="C73" s="100">
        <f t="shared" si="0"/>
        <v>129</v>
      </c>
      <c r="D73" s="100">
        <f t="shared" si="0"/>
        <v>163</v>
      </c>
      <c r="E73" s="100">
        <f t="shared" si="0"/>
        <v>148</v>
      </c>
      <c r="F73" s="100">
        <f t="shared" si="0"/>
        <v>149</v>
      </c>
      <c r="G73" s="100">
        <f t="shared" si="0"/>
        <v>145</v>
      </c>
      <c r="H73" s="100">
        <f t="shared" si="0"/>
        <v>141</v>
      </c>
      <c r="I73" s="100">
        <f t="shared" si="0"/>
        <v>150</v>
      </c>
      <c r="J73" s="100">
        <f t="shared" si="0"/>
        <v>155</v>
      </c>
      <c r="K73" s="100">
        <f t="shared" si="0"/>
        <v>136</v>
      </c>
      <c r="L73" s="100">
        <f t="shared" si="0"/>
        <v>141</v>
      </c>
      <c r="M73" s="100">
        <f t="shared" si="0"/>
        <v>164</v>
      </c>
      <c r="N73" s="100">
        <f t="shared" si="0"/>
        <v>137</v>
      </c>
      <c r="O73" s="100">
        <f t="shared" si="0"/>
        <v>152</v>
      </c>
      <c r="P73" s="100">
        <f t="shared" si="0"/>
        <v>150</v>
      </c>
      <c r="Q73" s="100">
        <f t="shared" si="0"/>
        <v>138</v>
      </c>
      <c r="R73" s="100">
        <f t="shared" si="0"/>
        <v>136</v>
      </c>
      <c r="S73" s="100">
        <f t="shared" si="0"/>
        <v>144</v>
      </c>
      <c r="T73" s="100">
        <f t="shared" si="0"/>
        <v>141</v>
      </c>
      <c r="U73" s="100">
        <f t="shared" si="0"/>
        <v>155</v>
      </c>
      <c r="V73" s="100">
        <f t="shared" si="0"/>
        <v>169</v>
      </c>
      <c r="W73" s="100">
        <f t="shared" si="0"/>
        <v>170</v>
      </c>
      <c r="X73" s="100">
        <f t="shared" si="0"/>
        <v>147</v>
      </c>
      <c r="Y73" s="100">
        <f t="shared" si="0"/>
        <v>171</v>
      </c>
      <c r="Z73" s="100">
        <f t="shared" si="0"/>
        <v>145</v>
      </c>
      <c r="AA73" s="100">
        <f aca="true" t="shared" si="1" ref="Y73:AI88">IF(ISERROR(AA42),0,AA42)</f>
        <v>169</v>
      </c>
      <c r="AB73" s="100">
        <f t="shared" si="1"/>
        <v>159</v>
      </c>
      <c r="AC73" s="100">
        <f t="shared" si="1"/>
        <v>157</v>
      </c>
      <c r="AD73" s="100">
        <f t="shared" si="1"/>
        <v>155</v>
      </c>
      <c r="AE73" s="100">
        <f t="shared" si="1"/>
        <v>143</v>
      </c>
      <c r="AF73" s="100">
        <f t="shared" si="1"/>
        <v>152</v>
      </c>
      <c r="AG73" s="100">
        <f t="shared" si="1"/>
        <v>138</v>
      </c>
      <c r="AH73" s="100">
        <f t="shared" si="1"/>
        <v>126</v>
      </c>
      <c r="AI73" s="100">
        <f t="shared" si="1"/>
        <v>159</v>
      </c>
    </row>
    <row r="74" spans="2:35" ht="12.75">
      <c r="B74" s="101" t="s">
        <v>7</v>
      </c>
      <c r="C74" s="100">
        <f aca="true" t="shared" si="2" ref="C74:X85">IF(ISERROR(C43),0,C43)</f>
        <v>288</v>
      </c>
      <c r="D74" s="100">
        <f t="shared" si="2"/>
        <v>340</v>
      </c>
      <c r="E74" s="100">
        <f t="shared" si="2"/>
        <v>295</v>
      </c>
      <c r="F74" s="100">
        <f t="shared" si="2"/>
        <v>303</v>
      </c>
      <c r="G74" s="100">
        <f t="shared" si="2"/>
        <v>315</v>
      </c>
      <c r="H74" s="100">
        <f t="shared" si="2"/>
        <v>317</v>
      </c>
      <c r="I74" s="100">
        <f t="shared" si="2"/>
        <v>343</v>
      </c>
      <c r="J74" s="100">
        <f t="shared" si="2"/>
        <v>383</v>
      </c>
      <c r="K74" s="100">
        <f t="shared" si="2"/>
        <v>355</v>
      </c>
      <c r="L74" s="100">
        <f t="shared" si="2"/>
        <v>332</v>
      </c>
      <c r="M74" s="100">
        <f t="shared" si="2"/>
        <v>405</v>
      </c>
      <c r="N74" s="100">
        <f t="shared" si="2"/>
        <v>368</v>
      </c>
      <c r="O74" s="100">
        <f t="shared" si="2"/>
        <v>429</v>
      </c>
      <c r="P74" s="100">
        <f t="shared" si="2"/>
        <v>372</v>
      </c>
      <c r="Q74" s="100">
        <f t="shared" si="2"/>
        <v>343</v>
      </c>
      <c r="R74" s="100">
        <f t="shared" si="2"/>
        <v>402</v>
      </c>
      <c r="S74" s="100">
        <f t="shared" si="2"/>
        <v>363</v>
      </c>
      <c r="T74" s="100">
        <f t="shared" si="2"/>
        <v>356</v>
      </c>
      <c r="U74" s="100">
        <f t="shared" si="2"/>
        <v>358</v>
      </c>
      <c r="V74" s="100">
        <f t="shared" si="2"/>
        <v>333</v>
      </c>
      <c r="W74" s="100">
        <f t="shared" si="2"/>
        <v>336</v>
      </c>
      <c r="X74" s="100">
        <f t="shared" si="2"/>
        <v>348</v>
      </c>
      <c r="Y74" s="100">
        <f t="shared" si="1"/>
        <v>336</v>
      </c>
      <c r="Z74" s="100">
        <f t="shared" si="1"/>
        <v>309</v>
      </c>
      <c r="AA74" s="100">
        <f t="shared" si="1"/>
        <v>352</v>
      </c>
      <c r="AB74" s="100">
        <f t="shared" si="1"/>
        <v>320</v>
      </c>
      <c r="AC74" s="100">
        <f t="shared" si="1"/>
        <v>295</v>
      </c>
      <c r="AD74" s="100">
        <f t="shared" si="1"/>
        <v>322</v>
      </c>
      <c r="AE74" s="100">
        <f t="shared" si="1"/>
        <v>310</v>
      </c>
      <c r="AF74" s="100">
        <f t="shared" si="1"/>
        <v>323</v>
      </c>
      <c r="AG74" s="100">
        <f t="shared" si="1"/>
        <v>298</v>
      </c>
      <c r="AH74" s="100">
        <f t="shared" si="1"/>
        <v>285</v>
      </c>
      <c r="AI74" s="100">
        <f t="shared" si="1"/>
        <v>311</v>
      </c>
    </row>
    <row r="75" spans="2:35" ht="12.75">
      <c r="B75" s="101" t="s">
        <v>8</v>
      </c>
      <c r="C75" s="100">
        <f t="shared" si="2"/>
        <v>247</v>
      </c>
      <c r="D75" s="100">
        <f t="shared" si="2"/>
        <v>317</v>
      </c>
      <c r="E75" s="100">
        <f t="shared" si="2"/>
        <v>271</v>
      </c>
      <c r="F75" s="100">
        <f t="shared" si="2"/>
        <v>291</v>
      </c>
      <c r="G75" s="100">
        <f t="shared" si="2"/>
        <v>302</v>
      </c>
      <c r="H75" s="100">
        <f t="shared" si="2"/>
        <v>302</v>
      </c>
      <c r="I75" s="100">
        <f t="shared" si="2"/>
        <v>313</v>
      </c>
      <c r="J75" s="100">
        <f t="shared" si="2"/>
        <v>320</v>
      </c>
      <c r="K75" s="100">
        <f t="shared" si="2"/>
        <v>304</v>
      </c>
      <c r="L75" s="100">
        <f t="shared" si="2"/>
        <v>276</v>
      </c>
      <c r="M75" s="100">
        <f t="shared" si="2"/>
        <v>358</v>
      </c>
      <c r="N75" s="100">
        <f t="shared" si="2"/>
        <v>307</v>
      </c>
      <c r="O75" s="100">
        <f t="shared" si="2"/>
        <v>353</v>
      </c>
      <c r="P75" s="100">
        <f t="shared" si="2"/>
        <v>329</v>
      </c>
      <c r="Q75" s="100">
        <f t="shared" si="2"/>
        <v>306</v>
      </c>
      <c r="R75" s="100">
        <f t="shared" si="2"/>
        <v>320</v>
      </c>
      <c r="S75" s="100">
        <f t="shared" si="2"/>
        <v>307</v>
      </c>
      <c r="T75" s="100">
        <f t="shared" si="2"/>
        <v>315</v>
      </c>
      <c r="U75" s="100">
        <f t="shared" si="2"/>
        <v>322</v>
      </c>
      <c r="V75" s="100">
        <f t="shared" si="2"/>
        <v>320</v>
      </c>
      <c r="W75" s="100">
        <f t="shared" si="2"/>
        <v>321</v>
      </c>
      <c r="X75" s="100">
        <f t="shared" si="2"/>
        <v>302</v>
      </c>
      <c r="Y75" s="100">
        <f t="shared" si="1"/>
        <v>323</v>
      </c>
      <c r="Z75" s="100">
        <f t="shared" si="1"/>
        <v>288</v>
      </c>
      <c r="AA75" s="100">
        <f t="shared" si="1"/>
        <v>314</v>
      </c>
      <c r="AB75" s="100">
        <f t="shared" si="1"/>
        <v>320</v>
      </c>
      <c r="AC75" s="100">
        <f t="shared" si="1"/>
        <v>286</v>
      </c>
      <c r="AD75" s="100">
        <f t="shared" si="1"/>
        <v>300</v>
      </c>
      <c r="AE75" s="100">
        <f t="shared" si="1"/>
        <v>262</v>
      </c>
      <c r="AF75" s="100">
        <f t="shared" si="1"/>
        <v>302</v>
      </c>
      <c r="AG75" s="100">
        <f t="shared" si="1"/>
        <v>273</v>
      </c>
      <c r="AH75" s="100">
        <f t="shared" si="1"/>
        <v>275</v>
      </c>
      <c r="AI75" s="100">
        <f t="shared" si="1"/>
        <v>286</v>
      </c>
    </row>
    <row r="76" spans="2:35" ht="12.75">
      <c r="B76" s="101" t="s">
        <v>9</v>
      </c>
      <c r="C76" s="100">
        <f t="shared" si="2"/>
        <v>1229</v>
      </c>
      <c r="D76" s="100">
        <f t="shared" si="2"/>
        <v>1514</v>
      </c>
      <c r="E76" s="100">
        <f t="shared" si="2"/>
        <v>1394</v>
      </c>
      <c r="F76" s="100">
        <f t="shared" si="2"/>
        <v>1355</v>
      </c>
      <c r="G76" s="100">
        <f t="shared" si="2"/>
        <v>1391</v>
      </c>
      <c r="H76" s="100">
        <f t="shared" si="2"/>
        <v>1395</v>
      </c>
      <c r="I76" s="100">
        <f t="shared" si="2"/>
        <v>1500</v>
      </c>
      <c r="J76" s="100">
        <f t="shared" si="2"/>
        <v>1518</v>
      </c>
      <c r="K76" s="100">
        <f t="shared" si="2"/>
        <v>1501</v>
      </c>
      <c r="L76" s="100">
        <f t="shared" si="2"/>
        <v>1414</v>
      </c>
      <c r="M76" s="100">
        <f t="shared" si="2"/>
        <v>1717</v>
      </c>
      <c r="N76" s="100">
        <f t="shared" si="2"/>
        <v>1558</v>
      </c>
      <c r="O76" s="100">
        <f t="shared" si="2"/>
        <v>1706</v>
      </c>
      <c r="P76" s="100">
        <f t="shared" si="2"/>
        <v>1620</v>
      </c>
      <c r="Q76" s="100">
        <f t="shared" si="2"/>
        <v>1527</v>
      </c>
      <c r="R76" s="100">
        <f t="shared" si="2"/>
        <v>1608</v>
      </c>
      <c r="S76" s="100">
        <f t="shared" si="2"/>
        <v>1672</v>
      </c>
      <c r="T76" s="100">
        <f t="shared" si="2"/>
        <v>1571</v>
      </c>
      <c r="U76" s="100">
        <f t="shared" si="2"/>
        <v>1649</v>
      </c>
      <c r="V76" s="100">
        <f t="shared" si="2"/>
        <v>1678</v>
      </c>
      <c r="W76" s="100">
        <f t="shared" si="2"/>
        <v>1569</v>
      </c>
      <c r="X76" s="100">
        <f t="shared" si="2"/>
        <v>1528</v>
      </c>
      <c r="Y76" s="100">
        <f t="shared" si="1"/>
        <v>1672</v>
      </c>
      <c r="Z76" s="100">
        <f t="shared" si="1"/>
        <v>1422</v>
      </c>
      <c r="AA76" s="100">
        <f t="shared" si="1"/>
        <v>1670</v>
      </c>
      <c r="AB76" s="100">
        <f t="shared" si="1"/>
        <v>1628</v>
      </c>
      <c r="AC76" s="100">
        <f t="shared" si="1"/>
        <v>1531</v>
      </c>
      <c r="AD76" s="100">
        <f t="shared" si="1"/>
        <v>1642</v>
      </c>
      <c r="AE76" s="100">
        <f t="shared" si="1"/>
        <v>1507</v>
      </c>
      <c r="AF76" s="100">
        <f t="shared" si="1"/>
        <v>1633</v>
      </c>
      <c r="AG76" s="100">
        <f t="shared" si="1"/>
        <v>1538</v>
      </c>
      <c r="AH76" s="100">
        <f t="shared" si="1"/>
        <v>1492</v>
      </c>
      <c r="AI76" s="100">
        <f t="shared" si="1"/>
        <v>1659</v>
      </c>
    </row>
    <row r="77" spans="2:35" ht="12.75">
      <c r="B77" s="101" t="s">
        <v>10</v>
      </c>
      <c r="C77" s="100">
        <f t="shared" si="2"/>
        <v>466</v>
      </c>
      <c r="D77" s="100">
        <f t="shared" si="2"/>
        <v>571</v>
      </c>
      <c r="E77" s="100">
        <f t="shared" si="2"/>
        <v>503</v>
      </c>
      <c r="F77" s="100">
        <f t="shared" si="2"/>
        <v>539</v>
      </c>
      <c r="G77" s="100">
        <f t="shared" si="2"/>
        <v>569</v>
      </c>
      <c r="H77" s="100">
        <f t="shared" si="2"/>
        <v>567</v>
      </c>
      <c r="I77" s="100">
        <f t="shared" si="2"/>
        <v>582</v>
      </c>
      <c r="J77" s="100">
        <f t="shared" si="2"/>
        <v>636</v>
      </c>
      <c r="K77" s="100">
        <f t="shared" si="2"/>
        <v>579</v>
      </c>
      <c r="L77" s="100">
        <f t="shared" si="2"/>
        <v>533</v>
      </c>
      <c r="M77" s="100">
        <f t="shared" si="2"/>
        <v>644</v>
      </c>
      <c r="N77" s="100">
        <f t="shared" si="2"/>
        <v>602</v>
      </c>
      <c r="O77" s="100">
        <f t="shared" si="2"/>
        <v>640</v>
      </c>
      <c r="P77" s="100">
        <f t="shared" si="2"/>
        <v>637</v>
      </c>
      <c r="Q77" s="100">
        <f t="shared" si="2"/>
        <v>600</v>
      </c>
      <c r="R77" s="100">
        <f t="shared" si="2"/>
        <v>639</v>
      </c>
      <c r="S77" s="100">
        <f t="shared" si="2"/>
        <v>590</v>
      </c>
      <c r="T77" s="100">
        <f t="shared" si="2"/>
        <v>589</v>
      </c>
      <c r="U77" s="100">
        <f t="shared" si="2"/>
        <v>590</v>
      </c>
      <c r="V77" s="100">
        <f t="shared" si="2"/>
        <v>633</v>
      </c>
      <c r="W77" s="100">
        <f t="shared" si="2"/>
        <v>576</v>
      </c>
      <c r="X77" s="100">
        <f t="shared" si="2"/>
        <v>577</v>
      </c>
      <c r="Y77" s="100">
        <f t="shared" si="1"/>
        <v>637</v>
      </c>
      <c r="Z77" s="100">
        <f t="shared" si="1"/>
        <v>550</v>
      </c>
      <c r="AA77" s="100">
        <f t="shared" si="1"/>
        <v>632</v>
      </c>
      <c r="AB77" s="100">
        <f t="shared" si="1"/>
        <v>622</v>
      </c>
      <c r="AC77" s="100">
        <f t="shared" si="1"/>
        <v>550</v>
      </c>
      <c r="AD77" s="100">
        <f t="shared" si="1"/>
        <v>621</v>
      </c>
      <c r="AE77" s="100">
        <f t="shared" si="1"/>
        <v>568</v>
      </c>
      <c r="AF77" s="100">
        <f t="shared" si="1"/>
        <v>607</v>
      </c>
      <c r="AG77" s="100">
        <f t="shared" si="1"/>
        <v>596</v>
      </c>
      <c r="AH77" s="100">
        <f t="shared" si="1"/>
        <v>556</v>
      </c>
      <c r="AI77" s="100">
        <f t="shared" si="1"/>
        <v>632</v>
      </c>
    </row>
    <row r="78" spans="2:35" ht="12.75">
      <c r="B78" s="101" t="s">
        <v>11</v>
      </c>
      <c r="C78" s="100">
        <f t="shared" si="2"/>
        <v>419</v>
      </c>
      <c r="D78" s="100">
        <f t="shared" si="2"/>
        <v>525</v>
      </c>
      <c r="E78" s="100">
        <f t="shared" si="2"/>
        <v>462</v>
      </c>
      <c r="F78" s="100">
        <f t="shared" si="2"/>
        <v>457</v>
      </c>
      <c r="G78" s="100">
        <f t="shared" si="2"/>
        <v>464</v>
      </c>
      <c r="H78" s="100">
        <f t="shared" si="2"/>
        <v>466</v>
      </c>
      <c r="I78" s="100">
        <f t="shared" si="2"/>
        <v>488</v>
      </c>
      <c r="J78" s="100">
        <f t="shared" si="2"/>
        <v>482</v>
      </c>
      <c r="K78" s="100">
        <f t="shared" si="2"/>
        <v>474</v>
      </c>
      <c r="L78" s="100">
        <f t="shared" si="2"/>
        <v>439</v>
      </c>
      <c r="M78" s="100">
        <f t="shared" si="2"/>
        <v>517</v>
      </c>
      <c r="N78" s="100">
        <f t="shared" si="2"/>
        <v>466</v>
      </c>
      <c r="O78" s="100">
        <f t="shared" si="2"/>
        <v>481</v>
      </c>
      <c r="P78" s="100">
        <f t="shared" si="2"/>
        <v>483</v>
      </c>
      <c r="Q78" s="100">
        <f t="shared" si="2"/>
        <v>457</v>
      </c>
      <c r="R78" s="100">
        <f t="shared" si="2"/>
        <v>506</v>
      </c>
      <c r="S78" s="100">
        <f t="shared" si="2"/>
        <v>499</v>
      </c>
      <c r="T78" s="100">
        <f t="shared" si="2"/>
        <v>464</v>
      </c>
      <c r="U78" s="100">
        <f t="shared" si="2"/>
        <v>513</v>
      </c>
      <c r="V78" s="100">
        <f t="shared" si="2"/>
        <v>505</v>
      </c>
      <c r="W78" s="100">
        <f t="shared" si="2"/>
        <v>486</v>
      </c>
      <c r="X78" s="100">
        <f t="shared" si="2"/>
        <v>459</v>
      </c>
      <c r="Y78" s="100">
        <f t="shared" si="1"/>
        <v>518</v>
      </c>
      <c r="Z78" s="100">
        <f t="shared" si="1"/>
        <v>440</v>
      </c>
      <c r="AA78" s="100">
        <f t="shared" si="1"/>
        <v>517</v>
      </c>
      <c r="AB78" s="100">
        <f t="shared" si="1"/>
        <v>512</v>
      </c>
      <c r="AC78" s="100">
        <f t="shared" si="1"/>
        <v>471</v>
      </c>
      <c r="AD78" s="100">
        <f t="shared" si="1"/>
        <v>504</v>
      </c>
      <c r="AE78" s="100">
        <f t="shared" si="1"/>
        <v>488</v>
      </c>
      <c r="AF78" s="100">
        <f t="shared" si="1"/>
        <v>527</v>
      </c>
      <c r="AG78" s="100">
        <f t="shared" si="1"/>
        <v>481</v>
      </c>
      <c r="AH78" s="100">
        <f t="shared" si="1"/>
        <v>445</v>
      </c>
      <c r="AI78" s="100">
        <f t="shared" si="1"/>
        <v>530</v>
      </c>
    </row>
    <row r="79" spans="2:35" ht="12.75">
      <c r="B79" s="101" t="s">
        <v>12</v>
      </c>
      <c r="C79" s="100">
        <f t="shared" si="2"/>
        <v>21</v>
      </c>
      <c r="D79" s="100">
        <f t="shared" si="2"/>
        <v>31</v>
      </c>
      <c r="E79" s="100">
        <f t="shared" si="2"/>
        <v>22</v>
      </c>
      <c r="F79" s="100">
        <f t="shared" si="2"/>
        <v>24</v>
      </c>
      <c r="G79" s="100">
        <f t="shared" si="2"/>
        <v>28</v>
      </c>
      <c r="H79" s="100">
        <f t="shared" si="2"/>
        <v>29</v>
      </c>
      <c r="I79" s="100">
        <f t="shared" si="2"/>
        <v>37</v>
      </c>
      <c r="J79" s="100">
        <f t="shared" si="2"/>
        <v>42</v>
      </c>
      <c r="K79" s="100">
        <f t="shared" si="2"/>
        <v>45</v>
      </c>
      <c r="L79" s="100">
        <f t="shared" si="2"/>
        <v>44</v>
      </c>
      <c r="M79" s="100">
        <f t="shared" si="2"/>
        <v>41</v>
      </c>
      <c r="N79" s="100">
        <f t="shared" si="2"/>
        <v>51</v>
      </c>
      <c r="O79" s="100">
        <f t="shared" si="2"/>
        <v>41</v>
      </c>
      <c r="P79" s="100">
        <f t="shared" si="2"/>
        <v>46</v>
      </c>
      <c r="Q79" s="100">
        <f t="shared" si="2"/>
        <v>43</v>
      </c>
      <c r="R79" s="100">
        <f t="shared" si="2"/>
        <v>38</v>
      </c>
      <c r="S79" s="100">
        <f t="shared" si="2"/>
        <v>47</v>
      </c>
      <c r="T79" s="100">
        <f t="shared" si="2"/>
        <v>39</v>
      </c>
      <c r="U79" s="100">
        <f t="shared" si="2"/>
        <v>33</v>
      </c>
      <c r="V79" s="100">
        <f t="shared" si="2"/>
        <v>37</v>
      </c>
      <c r="W79" s="100">
        <f t="shared" si="2"/>
        <v>42</v>
      </c>
      <c r="X79" s="100">
        <f t="shared" si="2"/>
        <v>38</v>
      </c>
      <c r="Y79" s="100">
        <f t="shared" si="1"/>
        <v>42</v>
      </c>
      <c r="Z79" s="100">
        <f t="shared" si="1"/>
        <v>36</v>
      </c>
      <c r="AA79" s="100">
        <f t="shared" si="1"/>
        <v>40</v>
      </c>
      <c r="AB79" s="100">
        <f t="shared" si="1"/>
        <v>38</v>
      </c>
      <c r="AC79" s="100">
        <f t="shared" si="1"/>
        <v>41</v>
      </c>
      <c r="AD79" s="100">
        <f t="shared" si="1"/>
        <v>52</v>
      </c>
      <c r="AE79" s="100">
        <f t="shared" si="1"/>
        <v>52</v>
      </c>
      <c r="AF79" s="100">
        <f t="shared" si="1"/>
        <v>46</v>
      </c>
      <c r="AG79" s="100">
        <f t="shared" si="1"/>
        <v>55</v>
      </c>
      <c r="AH79" s="100">
        <f t="shared" si="1"/>
        <v>58</v>
      </c>
      <c r="AI79" s="100">
        <f t="shared" si="1"/>
        <v>76</v>
      </c>
    </row>
    <row r="80" spans="2:35" ht="12.75">
      <c r="B80" s="101" t="s">
        <v>13</v>
      </c>
      <c r="C80" s="100">
        <f t="shared" si="2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74</v>
      </c>
      <c r="Y80" s="100">
        <f t="shared" si="1"/>
        <v>192</v>
      </c>
      <c r="Z80" s="100">
        <f t="shared" si="1"/>
        <v>251</v>
      </c>
      <c r="AA80" s="100">
        <f t="shared" si="1"/>
        <v>355</v>
      </c>
      <c r="AB80" s="100">
        <f t="shared" si="1"/>
        <v>437</v>
      </c>
      <c r="AC80" s="100">
        <f t="shared" si="1"/>
        <v>455</v>
      </c>
      <c r="AD80" s="100">
        <f t="shared" si="1"/>
        <v>522</v>
      </c>
      <c r="AE80" s="100">
        <f t="shared" si="1"/>
        <v>527</v>
      </c>
      <c r="AF80" s="100">
        <f t="shared" si="1"/>
        <v>614</v>
      </c>
      <c r="AG80" s="100">
        <f t="shared" si="1"/>
        <v>630</v>
      </c>
      <c r="AH80" s="100">
        <f t="shared" si="1"/>
        <v>613</v>
      </c>
      <c r="AI80" s="100">
        <f t="shared" si="1"/>
        <v>786</v>
      </c>
    </row>
    <row r="81" spans="2:35" ht="12.75">
      <c r="B81" s="101" t="s">
        <v>14</v>
      </c>
      <c r="C81" s="100">
        <f t="shared" si="2"/>
        <v>199</v>
      </c>
      <c r="D81" s="100">
        <f t="shared" si="2"/>
        <v>330</v>
      </c>
      <c r="E81" s="100">
        <f t="shared" si="2"/>
        <v>350</v>
      </c>
      <c r="F81" s="100">
        <f t="shared" si="2"/>
        <v>369</v>
      </c>
      <c r="G81" s="100">
        <f t="shared" si="2"/>
        <v>384</v>
      </c>
      <c r="H81" s="100">
        <f t="shared" si="2"/>
        <v>348</v>
      </c>
      <c r="I81" s="100">
        <f t="shared" si="2"/>
        <v>329</v>
      </c>
      <c r="J81" s="100">
        <f t="shared" si="2"/>
        <v>351</v>
      </c>
      <c r="K81" s="100">
        <f t="shared" si="2"/>
        <v>330</v>
      </c>
      <c r="L81" s="100">
        <f t="shared" si="2"/>
        <v>352</v>
      </c>
      <c r="M81" s="100">
        <f t="shared" si="2"/>
        <v>410</v>
      </c>
      <c r="N81" s="100">
        <f t="shared" si="2"/>
        <v>404</v>
      </c>
      <c r="O81" s="100">
        <f t="shared" si="2"/>
        <v>445</v>
      </c>
      <c r="P81" s="100">
        <f t="shared" si="2"/>
        <v>475</v>
      </c>
      <c r="Q81" s="100">
        <f t="shared" si="2"/>
        <v>450</v>
      </c>
      <c r="R81" s="100">
        <f t="shared" si="2"/>
        <v>484</v>
      </c>
      <c r="S81" s="100">
        <f t="shared" si="2"/>
        <v>505</v>
      </c>
      <c r="T81" s="100">
        <f t="shared" si="2"/>
        <v>463</v>
      </c>
      <c r="U81" s="100">
        <f t="shared" si="2"/>
        <v>516</v>
      </c>
      <c r="V81" s="100">
        <f t="shared" si="2"/>
        <v>548</v>
      </c>
      <c r="W81" s="100">
        <f t="shared" si="2"/>
        <v>538</v>
      </c>
      <c r="X81" s="100">
        <f t="shared" si="2"/>
        <v>521</v>
      </c>
      <c r="Y81" s="100">
        <f t="shared" si="1"/>
        <v>608</v>
      </c>
      <c r="Z81" s="100">
        <f t="shared" si="1"/>
        <v>508</v>
      </c>
      <c r="AA81" s="100">
        <f t="shared" si="1"/>
        <v>596</v>
      </c>
      <c r="AB81" s="100">
        <f t="shared" si="1"/>
        <v>649</v>
      </c>
      <c r="AC81" s="100">
        <f t="shared" si="1"/>
        <v>586</v>
      </c>
      <c r="AD81" s="100">
        <f t="shared" si="1"/>
        <v>674</v>
      </c>
      <c r="AE81" s="100">
        <f t="shared" si="1"/>
        <v>603</v>
      </c>
      <c r="AF81" s="100">
        <f t="shared" si="1"/>
        <v>687</v>
      </c>
      <c r="AG81" s="100">
        <f t="shared" si="1"/>
        <v>638</v>
      </c>
      <c r="AH81" s="100">
        <f t="shared" si="1"/>
        <v>619</v>
      </c>
      <c r="AI81" s="100">
        <f t="shared" si="1"/>
        <v>713</v>
      </c>
    </row>
    <row r="82" spans="2:35" ht="12.75">
      <c r="B82" s="101" t="s">
        <v>15</v>
      </c>
      <c r="C82" s="100">
        <f t="shared" si="2"/>
        <v>15</v>
      </c>
      <c r="D82" s="100">
        <f t="shared" si="2"/>
        <v>20</v>
      </c>
      <c r="E82" s="100">
        <f t="shared" si="2"/>
        <v>18</v>
      </c>
      <c r="F82" s="100">
        <f t="shared" si="2"/>
        <v>25</v>
      </c>
      <c r="G82" s="100">
        <f t="shared" si="2"/>
        <v>27</v>
      </c>
      <c r="H82" s="100">
        <f t="shared" si="2"/>
        <v>26</v>
      </c>
      <c r="I82" s="100">
        <f t="shared" si="2"/>
        <v>24</v>
      </c>
      <c r="J82" s="100">
        <f t="shared" si="2"/>
        <v>31</v>
      </c>
      <c r="K82" s="100">
        <f t="shared" si="2"/>
        <v>32</v>
      </c>
      <c r="L82" s="100">
        <f t="shared" si="2"/>
        <v>30</v>
      </c>
      <c r="M82" s="100">
        <f t="shared" si="2"/>
        <v>38</v>
      </c>
      <c r="N82" s="100">
        <f t="shared" si="2"/>
        <v>35</v>
      </c>
      <c r="O82" s="100">
        <f t="shared" si="2"/>
        <v>42</v>
      </c>
      <c r="P82" s="100">
        <f t="shared" si="2"/>
        <v>45</v>
      </c>
      <c r="Q82" s="100">
        <f t="shared" si="2"/>
        <v>51</v>
      </c>
      <c r="R82" s="100">
        <f t="shared" si="2"/>
        <v>46</v>
      </c>
      <c r="S82" s="100">
        <f t="shared" si="2"/>
        <v>41</v>
      </c>
      <c r="T82" s="100">
        <f t="shared" si="2"/>
        <v>49</v>
      </c>
      <c r="U82" s="100">
        <f t="shared" si="2"/>
        <v>49</v>
      </c>
      <c r="V82" s="100">
        <f t="shared" si="2"/>
        <v>54</v>
      </c>
      <c r="W82" s="100">
        <f t="shared" si="2"/>
        <v>54</v>
      </c>
      <c r="X82" s="100">
        <f t="shared" si="2"/>
        <v>58</v>
      </c>
      <c r="Y82" s="100">
        <f t="shared" si="1"/>
        <v>49</v>
      </c>
      <c r="Z82" s="100">
        <f t="shared" si="1"/>
        <v>52</v>
      </c>
      <c r="AA82" s="100">
        <f t="shared" si="1"/>
        <v>56</v>
      </c>
      <c r="AB82" s="100">
        <f t="shared" si="1"/>
        <v>66</v>
      </c>
      <c r="AC82" s="100">
        <f t="shared" si="1"/>
        <v>53</v>
      </c>
      <c r="AD82" s="100">
        <f t="shared" si="1"/>
        <v>68</v>
      </c>
      <c r="AE82" s="100">
        <f t="shared" si="1"/>
        <v>63</v>
      </c>
      <c r="AF82" s="100">
        <f t="shared" si="1"/>
        <v>68</v>
      </c>
      <c r="AG82" s="100">
        <f t="shared" si="1"/>
        <v>69</v>
      </c>
      <c r="AH82" s="100">
        <f t="shared" si="1"/>
        <v>75</v>
      </c>
      <c r="AI82" s="100">
        <f t="shared" si="1"/>
        <v>78</v>
      </c>
    </row>
    <row r="83" spans="2:35" ht="12.75">
      <c r="B83" s="101" t="s">
        <v>16</v>
      </c>
      <c r="C83" s="100">
        <f t="shared" si="2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25</v>
      </c>
      <c r="L83" s="100">
        <f t="shared" si="2"/>
        <v>64</v>
      </c>
      <c r="M83" s="100">
        <f t="shared" si="2"/>
        <v>148</v>
      </c>
      <c r="N83" s="100">
        <f t="shared" si="2"/>
        <v>174</v>
      </c>
      <c r="O83" s="100">
        <f t="shared" si="2"/>
        <v>244</v>
      </c>
      <c r="P83" s="100">
        <f t="shared" si="2"/>
        <v>246</v>
      </c>
      <c r="Q83" s="100">
        <f t="shared" si="2"/>
        <v>260</v>
      </c>
      <c r="R83" s="100">
        <f t="shared" si="2"/>
        <v>278</v>
      </c>
      <c r="S83" s="100">
        <f t="shared" si="2"/>
        <v>298</v>
      </c>
      <c r="T83" s="100">
        <f t="shared" si="2"/>
        <v>322</v>
      </c>
      <c r="U83" s="100">
        <f t="shared" si="2"/>
        <v>342</v>
      </c>
      <c r="V83" s="100">
        <f t="shared" si="2"/>
        <v>363</v>
      </c>
      <c r="W83" s="100">
        <f t="shared" si="2"/>
        <v>378</v>
      </c>
      <c r="X83" s="100">
        <f t="shared" si="2"/>
        <v>372</v>
      </c>
      <c r="Y83" s="100">
        <f t="shared" si="1"/>
        <v>429</v>
      </c>
      <c r="Z83" s="100">
        <f t="shared" si="1"/>
        <v>396</v>
      </c>
      <c r="AA83" s="100">
        <f t="shared" si="1"/>
        <v>442</v>
      </c>
      <c r="AB83" s="100">
        <f t="shared" si="1"/>
        <v>466</v>
      </c>
      <c r="AC83" s="100">
        <f t="shared" si="1"/>
        <v>428</v>
      </c>
      <c r="AD83" s="100">
        <f t="shared" si="1"/>
        <v>470</v>
      </c>
      <c r="AE83" s="100">
        <f t="shared" si="1"/>
        <v>424</v>
      </c>
      <c r="AF83" s="100">
        <f t="shared" si="1"/>
        <v>464</v>
      </c>
      <c r="AG83" s="100">
        <f t="shared" si="1"/>
        <v>440</v>
      </c>
      <c r="AH83" s="100">
        <f t="shared" si="1"/>
        <v>417</v>
      </c>
      <c r="AI83" s="100">
        <f t="shared" si="1"/>
        <v>483</v>
      </c>
    </row>
    <row r="84" spans="2:35" ht="12.75">
      <c r="B84" s="101" t="s">
        <v>17</v>
      </c>
      <c r="C84" s="100">
        <f t="shared" si="2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8</v>
      </c>
      <c r="X84" s="100">
        <f t="shared" si="2"/>
        <v>31</v>
      </c>
      <c r="Y84" s="100">
        <f t="shared" si="1"/>
        <v>74</v>
      </c>
      <c r="Z84" s="100">
        <f t="shared" si="1"/>
        <v>84</v>
      </c>
      <c r="AA84" s="100">
        <f t="shared" si="1"/>
        <v>155</v>
      </c>
      <c r="AB84" s="100">
        <f t="shared" si="1"/>
        <v>158</v>
      </c>
      <c r="AC84" s="100">
        <f t="shared" si="1"/>
        <v>154</v>
      </c>
      <c r="AD84" s="100">
        <f t="shared" si="1"/>
        <v>182</v>
      </c>
      <c r="AE84" s="100">
        <f t="shared" si="1"/>
        <v>199</v>
      </c>
      <c r="AF84" s="100">
        <f t="shared" si="1"/>
        <v>202</v>
      </c>
      <c r="AG84" s="100">
        <f t="shared" si="1"/>
        <v>192</v>
      </c>
      <c r="AH84" s="100">
        <f t="shared" si="1"/>
        <v>209</v>
      </c>
      <c r="AI84" s="100">
        <f t="shared" si="1"/>
        <v>253</v>
      </c>
    </row>
    <row r="85" spans="2:35" ht="12.75">
      <c r="B85" s="101" t="s">
        <v>18</v>
      </c>
      <c r="C85" s="100">
        <f t="shared" si="2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aca="true" t="shared" si="3" ref="D85:AI94">IF(ISERROR(P54),0,P54)</f>
        <v>0</v>
      </c>
      <c r="Q85" s="100">
        <f t="shared" si="3"/>
        <v>0</v>
      </c>
      <c r="R85" s="100">
        <f t="shared" si="3"/>
        <v>0</v>
      </c>
      <c r="S85" s="100">
        <f t="shared" si="3"/>
        <v>0</v>
      </c>
      <c r="T85" s="100">
        <f t="shared" si="3"/>
        <v>0</v>
      </c>
      <c r="U85" s="100">
        <f t="shared" si="3"/>
        <v>0</v>
      </c>
      <c r="V85" s="100">
        <f t="shared" si="3"/>
        <v>0</v>
      </c>
      <c r="W85" s="100">
        <f t="shared" si="3"/>
        <v>0</v>
      </c>
      <c r="X85" s="100">
        <f t="shared" si="3"/>
        <v>10</v>
      </c>
      <c r="Y85" s="100">
        <f t="shared" si="1"/>
        <v>32</v>
      </c>
      <c r="Z85" s="100">
        <f t="shared" si="1"/>
        <v>30</v>
      </c>
      <c r="AA85" s="100">
        <f t="shared" si="1"/>
        <v>57</v>
      </c>
      <c r="AB85" s="100">
        <f t="shared" si="1"/>
        <v>60</v>
      </c>
      <c r="AC85" s="100">
        <f t="shared" si="1"/>
        <v>60</v>
      </c>
      <c r="AD85" s="100">
        <f t="shared" si="1"/>
        <v>71</v>
      </c>
      <c r="AE85" s="100">
        <f t="shared" si="1"/>
        <v>66</v>
      </c>
      <c r="AF85" s="100">
        <f t="shared" si="1"/>
        <v>74</v>
      </c>
      <c r="AG85" s="100">
        <f t="shared" si="1"/>
        <v>91</v>
      </c>
      <c r="AH85" s="100">
        <f t="shared" si="1"/>
        <v>95</v>
      </c>
      <c r="AI85" s="100">
        <f t="shared" si="1"/>
        <v>101</v>
      </c>
    </row>
    <row r="86" spans="2:35" ht="12.75">
      <c r="B86" s="101" t="s">
        <v>19</v>
      </c>
      <c r="C86" s="100">
        <f aca="true" t="shared" si="4" ref="C86:C94">IF(ISERROR(C55),0,C55)</f>
        <v>39</v>
      </c>
      <c r="D86" s="100">
        <f t="shared" si="3"/>
        <v>29</v>
      </c>
      <c r="E86" s="100">
        <f t="shared" si="3"/>
        <v>35</v>
      </c>
      <c r="F86" s="100">
        <f t="shared" si="3"/>
        <v>31</v>
      </c>
      <c r="G86" s="100">
        <f t="shared" si="3"/>
        <v>29</v>
      </c>
      <c r="H86" s="100">
        <f t="shared" si="3"/>
        <v>27</v>
      </c>
      <c r="I86" s="100">
        <f t="shared" si="3"/>
        <v>25</v>
      </c>
      <c r="J86" s="100">
        <f t="shared" si="3"/>
        <v>33</v>
      </c>
      <c r="K86" s="100">
        <f t="shared" si="3"/>
        <v>24</v>
      </c>
      <c r="L86" s="100">
        <f t="shared" si="3"/>
        <v>26</v>
      </c>
      <c r="M86" s="100">
        <f t="shared" si="3"/>
        <v>36</v>
      </c>
      <c r="N86" s="100">
        <f t="shared" si="3"/>
        <v>30</v>
      </c>
      <c r="O86" s="100">
        <f t="shared" si="3"/>
        <v>28</v>
      </c>
      <c r="P86" s="100">
        <f t="shared" si="3"/>
        <v>29</v>
      </c>
      <c r="Q86" s="100">
        <f t="shared" si="3"/>
        <v>31</v>
      </c>
      <c r="R86" s="100">
        <f t="shared" si="3"/>
        <v>35</v>
      </c>
      <c r="S86" s="100">
        <f t="shared" si="3"/>
        <v>26</v>
      </c>
      <c r="T86" s="100">
        <f t="shared" si="3"/>
        <v>37</v>
      </c>
      <c r="U86" s="100">
        <f t="shared" si="3"/>
        <v>31</v>
      </c>
      <c r="V86" s="100">
        <f t="shared" si="3"/>
        <v>34</v>
      </c>
      <c r="W86" s="100">
        <f t="shared" si="3"/>
        <v>37</v>
      </c>
      <c r="X86" s="100">
        <f t="shared" si="3"/>
        <v>26</v>
      </c>
      <c r="Y86" s="100">
        <f t="shared" si="1"/>
        <v>36</v>
      </c>
      <c r="Z86" s="100">
        <f t="shared" si="1"/>
        <v>30</v>
      </c>
      <c r="AA86" s="100">
        <f t="shared" si="1"/>
        <v>29</v>
      </c>
      <c r="AB86" s="100">
        <f t="shared" si="1"/>
        <v>38</v>
      </c>
      <c r="AC86" s="100">
        <f t="shared" si="1"/>
        <v>28</v>
      </c>
      <c r="AD86" s="100">
        <f t="shared" si="1"/>
        <v>35</v>
      </c>
      <c r="AE86" s="100">
        <f t="shared" si="1"/>
        <v>30</v>
      </c>
      <c r="AF86" s="100">
        <f t="shared" si="1"/>
        <v>36</v>
      </c>
      <c r="AG86" s="100">
        <f t="shared" si="1"/>
        <v>37</v>
      </c>
      <c r="AH86" s="100">
        <f t="shared" si="1"/>
        <v>33</v>
      </c>
      <c r="AI86" s="100">
        <f t="shared" si="1"/>
        <v>40</v>
      </c>
    </row>
    <row r="87" spans="2:35" ht="12.75">
      <c r="B87" s="101" t="s">
        <v>20</v>
      </c>
      <c r="C87" s="100">
        <f t="shared" si="4"/>
        <v>165</v>
      </c>
      <c r="D87" s="100">
        <f t="shared" si="3"/>
        <v>220</v>
      </c>
      <c r="E87" s="100">
        <f t="shared" si="3"/>
        <v>225</v>
      </c>
      <c r="F87" s="100">
        <f t="shared" si="3"/>
        <v>188</v>
      </c>
      <c r="G87" s="100">
        <f t="shared" si="3"/>
        <v>205</v>
      </c>
      <c r="H87" s="100">
        <f t="shared" si="3"/>
        <v>164</v>
      </c>
      <c r="I87" s="100">
        <f t="shared" si="3"/>
        <v>211</v>
      </c>
      <c r="J87" s="100">
        <f t="shared" si="3"/>
        <v>209</v>
      </c>
      <c r="K87" s="100">
        <f t="shared" si="3"/>
        <v>198</v>
      </c>
      <c r="L87" s="100">
        <f t="shared" si="3"/>
        <v>196</v>
      </c>
      <c r="M87" s="100">
        <f t="shared" si="3"/>
        <v>211</v>
      </c>
      <c r="N87" s="100">
        <f t="shared" si="3"/>
        <v>186</v>
      </c>
      <c r="O87" s="100">
        <f t="shared" si="3"/>
        <v>203</v>
      </c>
      <c r="P87" s="100">
        <f t="shared" si="3"/>
        <v>187</v>
      </c>
      <c r="Q87" s="100">
        <f t="shared" si="3"/>
        <v>187</v>
      </c>
      <c r="R87" s="100">
        <f t="shared" si="3"/>
        <v>198</v>
      </c>
      <c r="S87" s="100">
        <f t="shared" si="3"/>
        <v>192</v>
      </c>
      <c r="T87" s="100">
        <f t="shared" si="3"/>
        <v>196</v>
      </c>
      <c r="U87" s="100">
        <f t="shared" si="3"/>
        <v>214</v>
      </c>
      <c r="V87" s="100">
        <f t="shared" si="3"/>
        <v>203</v>
      </c>
      <c r="W87" s="100">
        <f t="shared" si="3"/>
        <v>204</v>
      </c>
      <c r="X87" s="100">
        <f t="shared" si="3"/>
        <v>182</v>
      </c>
      <c r="Y87" s="100">
        <f t="shared" si="1"/>
        <v>211</v>
      </c>
      <c r="Z87" s="100">
        <f t="shared" si="1"/>
        <v>163</v>
      </c>
      <c r="AA87" s="100">
        <f t="shared" si="1"/>
        <v>191</v>
      </c>
      <c r="AB87" s="100">
        <f t="shared" si="1"/>
        <v>185</v>
      </c>
      <c r="AC87" s="100">
        <f t="shared" si="1"/>
        <v>180</v>
      </c>
      <c r="AD87" s="100">
        <f t="shared" si="1"/>
        <v>181</v>
      </c>
      <c r="AE87" s="100">
        <f t="shared" si="1"/>
        <v>172</v>
      </c>
      <c r="AF87" s="100">
        <f t="shared" si="1"/>
        <v>187</v>
      </c>
      <c r="AG87" s="100">
        <f t="shared" si="1"/>
        <v>171</v>
      </c>
      <c r="AH87" s="100">
        <f t="shared" si="1"/>
        <v>150</v>
      </c>
      <c r="AI87" s="100">
        <f t="shared" si="1"/>
        <v>183</v>
      </c>
    </row>
    <row r="88" spans="2:35" ht="12.75">
      <c r="B88" s="101" t="s">
        <v>21</v>
      </c>
      <c r="C88" s="100">
        <f t="shared" si="4"/>
        <v>66</v>
      </c>
      <c r="D88" s="100">
        <f t="shared" si="3"/>
        <v>90</v>
      </c>
      <c r="E88" s="100">
        <f t="shared" si="3"/>
        <v>87</v>
      </c>
      <c r="F88" s="100">
        <f t="shared" si="3"/>
        <v>77</v>
      </c>
      <c r="G88" s="100">
        <f t="shared" si="3"/>
        <v>80</v>
      </c>
      <c r="H88" s="100">
        <f t="shared" si="3"/>
        <v>81</v>
      </c>
      <c r="I88" s="100">
        <f t="shared" si="3"/>
        <v>82</v>
      </c>
      <c r="J88" s="100">
        <f t="shared" si="3"/>
        <v>81</v>
      </c>
      <c r="K88" s="100">
        <f t="shared" si="3"/>
        <v>77</v>
      </c>
      <c r="L88" s="100">
        <f t="shared" si="3"/>
        <v>82</v>
      </c>
      <c r="M88" s="100">
        <f t="shared" si="3"/>
        <v>97</v>
      </c>
      <c r="N88" s="100">
        <f t="shared" si="3"/>
        <v>81</v>
      </c>
      <c r="O88" s="100">
        <f t="shared" si="3"/>
        <v>94</v>
      </c>
      <c r="P88" s="100">
        <f t="shared" si="3"/>
        <v>94</v>
      </c>
      <c r="Q88" s="100">
        <f t="shared" si="3"/>
        <v>72</v>
      </c>
      <c r="R88" s="100">
        <f t="shared" si="3"/>
        <v>83</v>
      </c>
      <c r="S88" s="100">
        <f t="shared" si="3"/>
        <v>95</v>
      </c>
      <c r="T88" s="100">
        <f t="shared" si="3"/>
        <v>87</v>
      </c>
      <c r="U88" s="100">
        <f t="shared" si="3"/>
        <v>88</v>
      </c>
      <c r="V88" s="100">
        <f t="shared" si="3"/>
        <v>102</v>
      </c>
      <c r="W88" s="100">
        <f t="shared" si="3"/>
        <v>105</v>
      </c>
      <c r="X88" s="100">
        <f t="shared" si="3"/>
        <v>87</v>
      </c>
      <c r="Y88" s="100">
        <f t="shared" si="1"/>
        <v>95</v>
      </c>
      <c r="Z88" s="100">
        <f t="shared" si="1"/>
        <v>84</v>
      </c>
      <c r="AA88" s="100">
        <f t="shared" si="1"/>
        <v>90</v>
      </c>
      <c r="AB88" s="100">
        <f t="shared" si="1"/>
        <v>89</v>
      </c>
      <c r="AC88" s="100">
        <f t="shared" si="1"/>
        <v>95</v>
      </c>
      <c r="AD88" s="100">
        <f t="shared" si="1"/>
        <v>98</v>
      </c>
      <c r="AE88" s="100">
        <f t="shared" si="1"/>
        <v>85</v>
      </c>
      <c r="AF88" s="100">
        <f t="shared" si="1"/>
        <v>107</v>
      </c>
      <c r="AG88" s="100">
        <f t="shared" si="1"/>
        <v>76</v>
      </c>
      <c r="AH88" s="100">
        <f t="shared" si="1"/>
        <v>100</v>
      </c>
      <c r="AI88" s="100">
        <f t="shared" si="1"/>
        <v>92</v>
      </c>
    </row>
    <row r="89" spans="2:35" ht="12.75">
      <c r="B89" s="101" t="s">
        <v>22</v>
      </c>
      <c r="C89" s="100">
        <f t="shared" si="4"/>
        <v>35</v>
      </c>
      <c r="D89" s="100">
        <f t="shared" si="3"/>
        <v>44</v>
      </c>
      <c r="E89" s="100">
        <f t="shared" si="3"/>
        <v>36</v>
      </c>
      <c r="F89" s="100">
        <f t="shared" si="3"/>
        <v>33</v>
      </c>
      <c r="G89" s="100">
        <f t="shared" si="3"/>
        <v>34</v>
      </c>
      <c r="H89" s="100">
        <f t="shared" si="3"/>
        <v>28</v>
      </c>
      <c r="I89" s="100">
        <f t="shared" si="3"/>
        <v>29</v>
      </c>
      <c r="J89" s="100">
        <f t="shared" si="3"/>
        <v>27</v>
      </c>
      <c r="K89" s="100">
        <f t="shared" si="3"/>
        <v>34</v>
      </c>
      <c r="L89" s="100">
        <f t="shared" si="3"/>
        <v>25</v>
      </c>
      <c r="M89" s="100">
        <f t="shared" si="3"/>
        <v>33</v>
      </c>
      <c r="N89" s="100">
        <f t="shared" si="3"/>
        <v>31</v>
      </c>
      <c r="O89" s="100">
        <f t="shared" si="3"/>
        <v>30</v>
      </c>
      <c r="P89" s="100">
        <f t="shared" si="3"/>
        <v>26</v>
      </c>
      <c r="Q89" s="100">
        <f t="shared" si="3"/>
        <v>26</v>
      </c>
      <c r="R89" s="100">
        <f t="shared" si="3"/>
        <v>28</v>
      </c>
      <c r="S89" s="100">
        <f t="shared" si="3"/>
        <v>25</v>
      </c>
      <c r="T89" s="100">
        <f t="shared" si="3"/>
        <v>31</v>
      </c>
      <c r="U89" s="100">
        <f t="shared" si="3"/>
        <v>29</v>
      </c>
      <c r="V89" s="100">
        <f t="shared" si="3"/>
        <v>33</v>
      </c>
      <c r="W89" s="100">
        <f t="shared" si="3"/>
        <v>31</v>
      </c>
      <c r="X89" s="100">
        <f t="shared" si="3"/>
        <v>27</v>
      </c>
      <c r="Y89" s="100">
        <f t="shared" si="3"/>
        <v>29</v>
      </c>
      <c r="Z89" s="100">
        <f t="shared" si="3"/>
        <v>19</v>
      </c>
      <c r="AA89" s="100">
        <f t="shared" si="3"/>
        <v>28</v>
      </c>
      <c r="AB89" s="100">
        <f t="shared" si="3"/>
        <v>25</v>
      </c>
      <c r="AC89" s="100">
        <f t="shared" si="3"/>
        <v>28</v>
      </c>
      <c r="AD89" s="100">
        <f t="shared" si="3"/>
        <v>30</v>
      </c>
      <c r="AE89" s="100">
        <f t="shared" si="3"/>
        <v>24</v>
      </c>
      <c r="AF89" s="100">
        <f t="shared" si="3"/>
        <v>32</v>
      </c>
      <c r="AG89" s="100">
        <f t="shared" si="3"/>
        <v>33</v>
      </c>
      <c r="AH89" s="100">
        <f t="shared" si="3"/>
        <v>35</v>
      </c>
      <c r="AI89" s="100">
        <f t="shared" si="3"/>
        <v>30</v>
      </c>
    </row>
    <row r="90" spans="2:35" ht="12.75">
      <c r="B90" s="101" t="s">
        <v>23</v>
      </c>
      <c r="C90" s="100">
        <f t="shared" si="4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0</v>
      </c>
      <c r="M90" s="100">
        <f t="shared" si="3"/>
        <v>0</v>
      </c>
      <c r="N90" s="100">
        <f t="shared" si="3"/>
        <v>0</v>
      </c>
      <c r="O90" s="100">
        <f t="shared" si="3"/>
        <v>0</v>
      </c>
      <c r="P90" s="100">
        <f t="shared" si="3"/>
        <v>0</v>
      </c>
      <c r="Q90" s="100">
        <f t="shared" si="3"/>
        <v>0</v>
      </c>
      <c r="R90" s="100">
        <f t="shared" si="3"/>
        <v>0</v>
      </c>
      <c r="S90" s="100">
        <f t="shared" si="3"/>
        <v>0</v>
      </c>
      <c r="T90" s="100">
        <f t="shared" si="3"/>
        <v>0</v>
      </c>
      <c r="U90" s="100">
        <f t="shared" si="3"/>
        <v>0</v>
      </c>
      <c r="V90" s="100">
        <f t="shared" si="3"/>
        <v>0</v>
      </c>
      <c r="W90" s="100">
        <f t="shared" si="3"/>
        <v>0</v>
      </c>
      <c r="X90" s="100">
        <f t="shared" si="3"/>
        <v>0</v>
      </c>
      <c r="Y90" s="100">
        <f t="shared" si="3"/>
        <v>99</v>
      </c>
      <c r="Z90" s="100">
        <f t="shared" si="3"/>
        <v>245</v>
      </c>
      <c r="AA90" s="100">
        <f t="shared" si="3"/>
        <v>429</v>
      </c>
      <c r="AB90" s="100">
        <f t="shared" si="3"/>
        <v>588</v>
      </c>
      <c r="AC90" s="100">
        <f t="shared" si="3"/>
        <v>651</v>
      </c>
      <c r="AD90" s="100">
        <f t="shared" si="3"/>
        <v>731</v>
      </c>
      <c r="AE90" s="100">
        <f t="shared" si="3"/>
        <v>747</v>
      </c>
      <c r="AF90" s="100">
        <f t="shared" si="3"/>
        <v>832</v>
      </c>
      <c r="AG90" s="100">
        <f t="shared" si="3"/>
        <v>843</v>
      </c>
      <c r="AH90" s="100">
        <f t="shared" si="3"/>
        <v>805</v>
      </c>
      <c r="AI90" s="100">
        <f t="shared" si="3"/>
        <v>961</v>
      </c>
    </row>
    <row r="91" spans="2:35" ht="12.75">
      <c r="B91" s="101" t="s">
        <v>24</v>
      </c>
      <c r="C91" s="100">
        <f t="shared" si="4"/>
        <v>1232</v>
      </c>
      <c r="D91" s="100">
        <f t="shared" si="3"/>
        <v>1518</v>
      </c>
      <c r="E91" s="100">
        <f t="shared" si="3"/>
        <v>1431</v>
      </c>
      <c r="F91" s="100">
        <f t="shared" si="3"/>
        <v>1369</v>
      </c>
      <c r="G91" s="100">
        <f t="shared" si="3"/>
        <v>1407</v>
      </c>
      <c r="H91" s="100">
        <f t="shared" si="3"/>
        <v>1391</v>
      </c>
      <c r="I91" s="100">
        <f t="shared" si="3"/>
        <v>1494</v>
      </c>
      <c r="J91" s="100">
        <f t="shared" si="3"/>
        <v>1571</v>
      </c>
      <c r="K91" s="100">
        <f t="shared" si="3"/>
        <v>1505</v>
      </c>
      <c r="L91" s="100">
        <f t="shared" si="3"/>
        <v>1436</v>
      </c>
      <c r="M91" s="100">
        <f t="shared" si="3"/>
        <v>1651</v>
      </c>
      <c r="N91" s="100">
        <f t="shared" si="3"/>
        <v>1565</v>
      </c>
      <c r="O91" s="100">
        <f t="shared" si="3"/>
        <v>1617</v>
      </c>
      <c r="P91" s="100">
        <f t="shared" si="3"/>
        <v>1605</v>
      </c>
      <c r="Q91" s="100">
        <f t="shared" si="3"/>
        <v>1514</v>
      </c>
      <c r="R91" s="100">
        <f t="shared" si="3"/>
        <v>1648</v>
      </c>
      <c r="S91" s="100">
        <f t="shared" si="3"/>
        <v>1592</v>
      </c>
      <c r="T91" s="100">
        <f t="shared" si="3"/>
        <v>1576</v>
      </c>
      <c r="U91" s="100">
        <f t="shared" si="3"/>
        <v>1622</v>
      </c>
      <c r="V91" s="100">
        <f t="shared" si="3"/>
        <v>1669</v>
      </c>
      <c r="W91" s="100">
        <f t="shared" si="3"/>
        <v>1581</v>
      </c>
      <c r="X91" s="100">
        <f t="shared" si="3"/>
        <v>1517</v>
      </c>
      <c r="Y91" s="100">
        <f t="shared" si="3"/>
        <v>1612</v>
      </c>
      <c r="Z91" s="100">
        <f t="shared" si="3"/>
        <v>1256</v>
      </c>
      <c r="AA91" s="100">
        <f t="shared" si="3"/>
        <v>1230</v>
      </c>
      <c r="AB91" s="100">
        <f t="shared" si="3"/>
        <v>1175</v>
      </c>
      <c r="AC91" s="100">
        <f t="shared" si="3"/>
        <v>1001</v>
      </c>
      <c r="AD91" s="100">
        <f t="shared" si="3"/>
        <v>1053</v>
      </c>
      <c r="AE91" s="100">
        <f t="shared" si="3"/>
        <v>908</v>
      </c>
      <c r="AF91" s="100">
        <f t="shared" si="3"/>
        <v>1012</v>
      </c>
      <c r="AG91" s="100">
        <f t="shared" si="3"/>
        <v>900</v>
      </c>
      <c r="AH91" s="100">
        <f t="shared" si="3"/>
        <v>877</v>
      </c>
      <c r="AI91" s="100">
        <f t="shared" si="3"/>
        <v>980</v>
      </c>
    </row>
    <row r="92" spans="2:35" ht="12.75">
      <c r="B92" s="101" t="s">
        <v>25</v>
      </c>
      <c r="C92" s="100">
        <f t="shared" si="4"/>
        <v>740</v>
      </c>
      <c r="D92" s="100">
        <f t="shared" si="3"/>
        <v>906</v>
      </c>
      <c r="E92" s="100">
        <f t="shared" si="3"/>
        <v>849</v>
      </c>
      <c r="F92" s="100">
        <f t="shared" si="3"/>
        <v>815</v>
      </c>
      <c r="G92" s="100">
        <f t="shared" si="3"/>
        <v>825</v>
      </c>
      <c r="H92" s="100">
        <f t="shared" si="3"/>
        <v>823</v>
      </c>
      <c r="I92" s="100">
        <f t="shared" si="3"/>
        <v>839</v>
      </c>
      <c r="J92" s="100">
        <f t="shared" si="3"/>
        <v>865</v>
      </c>
      <c r="K92" s="100">
        <f t="shared" si="3"/>
        <v>803</v>
      </c>
      <c r="L92" s="100">
        <f t="shared" si="3"/>
        <v>737</v>
      </c>
      <c r="M92" s="100">
        <f t="shared" si="3"/>
        <v>850</v>
      </c>
      <c r="N92" s="100">
        <f t="shared" si="3"/>
        <v>818</v>
      </c>
      <c r="O92" s="100">
        <f t="shared" si="3"/>
        <v>853</v>
      </c>
      <c r="P92" s="100">
        <f t="shared" si="3"/>
        <v>791</v>
      </c>
      <c r="Q92" s="100">
        <f t="shared" si="3"/>
        <v>767</v>
      </c>
      <c r="R92" s="100">
        <f t="shared" si="3"/>
        <v>797</v>
      </c>
      <c r="S92" s="100">
        <f t="shared" si="3"/>
        <v>794</v>
      </c>
      <c r="T92" s="100">
        <f t="shared" si="3"/>
        <v>754</v>
      </c>
      <c r="U92" s="100">
        <f t="shared" si="3"/>
        <v>819</v>
      </c>
      <c r="V92" s="100">
        <f t="shared" si="3"/>
        <v>801</v>
      </c>
      <c r="W92" s="100">
        <f t="shared" si="3"/>
        <v>782</v>
      </c>
      <c r="X92" s="100">
        <f t="shared" si="3"/>
        <v>747</v>
      </c>
      <c r="Y92" s="100">
        <f t="shared" si="3"/>
        <v>809</v>
      </c>
      <c r="Z92" s="100">
        <f t="shared" si="3"/>
        <v>705</v>
      </c>
      <c r="AA92" s="100">
        <f t="shared" si="3"/>
        <v>754</v>
      </c>
      <c r="AB92" s="100">
        <f t="shared" si="3"/>
        <v>742</v>
      </c>
      <c r="AC92" s="100">
        <f t="shared" si="3"/>
        <v>674</v>
      </c>
      <c r="AD92" s="100">
        <f t="shared" si="3"/>
        <v>691</v>
      </c>
      <c r="AE92" s="100">
        <f t="shared" si="3"/>
        <v>639</v>
      </c>
      <c r="AF92" s="100">
        <f t="shared" si="3"/>
        <v>710</v>
      </c>
      <c r="AG92" s="100">
        <f t="shared" si="3"/>
        <v>650</v>
      </c>
      <c r="AH92" s="100">
        <f t="shared" si="3"/>
        <v>631</v>
      </c>
      <c r="AI92" s="100">
        <f t="shared" si="3"/>
        <v>725</v>
      </c>
    </row>
    <row r="93" spans="2:35" ht="12.75">
      <c r="B93" s="101" t="s">
        <v>26</v>
      </c>
      <c r="C93" s="100">
        <f t="shared" si="4"/>
        <v>322</v>
      </c>
      <c r="D93" s="100">
        <f t="shared" si="3"/>
        <v>381</v>
      </c>
      <c r="E93" s="100">
        <f t="shared" si="3"/>
        <v>349</v>
      </c>
      <c r="F93" s="100">
        <f t="shared" si="3"/>
        <v>352</v>
      </c>
      <c r="G93" s="100">
        <f t="shared" si="3"/>
        <v>362</v>
      </c>
      <c r="H93" s="100">
        <f t="shared" si="3"/>
        <v>368</v>
      </c>
      <c r="I93" s="100">
        <f t="shared" si="3"/>
        <v>359</v>
      </c>
      <c r="J93" s="100">
        <f t="shared" si="3"/>
        <v>364</v>
      </c>
      <c r="K93" s="100">
        <f t="shared" si="3"/>
        <v>338</v>
      </c>
      <c r="L93" s="100">
        <f t="shared" si="3"/>
        <v>322</v>
      </c>
      <c r="M93" s="100">
        <f t="shared" si="3"/>
        <v>381</v>
      </c>
      <c r="N93" s="100">
        <f t="shared" si="3"/>
        <v>347</v>
      </c>
      <c r="O93" s="100">
        <f t="shared" si="3"/>
        <v>354</v>
      </c>
      <c r="P93" s="100">
        <f t="shared" si="3"/>
        <v>358</v>
      </c>
      <c r="Q93" s="100">
        <f t="shared" si="3"/>
        <v>329</v>
      </c>
      <c r="R93" s="100">
        <f t="shared" si="3"/>
        <v>340</v>
      </c>
      <c r="S93" s="100">
        <f t="shared" si="3"/>
        <v>338</v>
      </c>
      <c r="T93" s="100">
        <f t="shared" si="3"/>
        <v>337</v>
      </c>
      <c r="U93" s="100">
        <f t="shared" si="3"/>
        <v>347</v>
      </c>
      <c r="V93" s="100">
        <f t="shared" si="3"/>
        <v>343</v>
      </c>
      <c r="W93" s="100">
        <f t="shared" si="3"/>
        <v>355</v>
      </c>
      <c r="X93" s="100">
        <f t="shared" si="3"/>
        <v>291</v>
      </c>
      <c r="Y93" s="100">
        <f t="shared" si="3"/>
        <v>356</v>
      </c>
      <c r="Z93" s="100">
        <f t="shared" si="3"/>
        <v>284</v>
      </c>
      <c r="AA93" s="100">
        <f t="shared" si="3"/>
        <v>331</v>
      </c>
      <c r="AB93" s="100">
        <f t="shared" si="3"/>
        <v>342</v>
      </c>
      <c r="AC93" s="100">
        <f t="shared" si="3"/>
        <v>305</v>
      </c>
      <c r="AD93" s="100">
        <f t="shared" si="3"/>
        <v>325</v>
      </c>
      <c r="AE93" s="100">
        <f t="shared" si="3"/>
        <v>294</v>
      </c>
      <c r="AF93" s="100">
        <f t="shared" si="3"/>
        <v>330</v>
      </c>
      <c r="AG93" s="100">
        <f t="shared" si="3"/>
        <v>292</v>
      </c>
      <c r="AH93" s="100">
        <f t="shared" si="3"/>
        <v>297</v>
      </c>
      <c r="AI93" s="100">
        <f t="shared" si="3"/>
        <v>324</v>
      </c>
    </row>
    <row r="94" spans="2:35" ht="12.75">
      <c r="B94" s="101" t="s">
        <v>108</v>
      </c>
      <c r="C94" s="100">
        <f t="shared" si="4"/>
        <v>0</v>
      </c>
      <c r="D94" s="100">
        <f t="shared" si="3"/>
        <v>0</v>
      </c>
      <c r="E94" s="100">
        <f t="shared" si="3"/>
        <v>0</v>
      </c>
      <c r="F94" s="100">
        <f t="shared" si="3"/>
        <v>0</v>
      </c>
      <c r="G94" s="100">
        <f t="shared" si="3"/>
        <v>0</v>
      </c>
      <c r="H94" s="100">
        <f t="shared" si="3"/>
        <v>0</v>
      </c>
      <c r="I94" s="100">
        <f t="shared" si="3"/>
        <v>0</v>
      </c>
      <c r="J94" s="100">
        <f t="shared" si="3"/>
        <v>0</v>
      </c>
      <c r="K94" s="100">
        <f t="shared" si="3"/>
        <v>0</v>
      </c>
      <c r="L94" s="100">
        <f t="shared" si="3"/>
        <v>0</v>
      </c>
      <c r="M94" s="100">
        <f t="shared" si="3"/>
        <v>0</v>
      </c>
      <c r="N94" s="100">
        <f t="shared" si="3"/>
        <v>0</v>
      </c>
      <c r="O94" s="100">
        <f t="shared" si="3"/>
        <v>0</v>
      </c>
      <c r="P94" s="100">
        <f t="shared" si="3"/>
        <v>0</v>
      </c>
      <c r="Q94" s="100">
        <f t="shared" si="3"/>
        <v>0</v>
      </c>
      <c r="R94" s="100">
        <f t="shared" si="3"/>
        <v>0</v>
      </c>
      <c r="S94" s="100">
        <f t="shared" si="3"/>
        <v>0</v>
      </c>
      <c r="T94" s="100">
        <f t="shared" si="3"/>
        <v>0</v>
      </c>
      <c r="U94" s="100">
        <f t="shared" si="3"/>
        <v>0</v>
      </c>
      <c r="V94" s="100">
        <f t="shared" si="3"/>
        <v>0</v>
      </c>
      <c r="W94" s="100">
        <f t="shared" si="3"/>
        <v>0</v>
      </c>
      <c r="X94" s="100">
        <f t="shared" si="3"/>
        <v>0</v>
      </c>
      <c r="Y94" s="100">
        <f t="shared" si="3"/>
        <v>0</v>
      </c>
      <c r="Z94" s="100">
        <f t="shared" si="3"/>
        <v>0</v>
      </c>
      <c r="AA94" s="100">
        <f aca="true" t="shared" si="5" ref="AA94:AI94">IF(ISERROR(AA63),0,AA63)</f>
        <v>0</v>
      </c>
      <c r="AB94" s="100">
        <f t="shared" si="5"/>
        <v>0</v>
      </c>
      <c r="AC94" s="100">
        <f t="shared" si="5"/>
        <v>0</v>
      </c>
      <c r="AD94" s="100">
        <f t="shared" si="5"/>
        <v>0</v>
      </c>
      <c r="AE94" s="100">
        <f t="shared" si="5"/>
        <v>0</v>
      </c>
      <c r="AF94" s="100">
        <f t="shared" si="5"/>
        <v>0</v>
      </c>
      <c r="AG94" s="100">
        <f t="shared" si="5"/>
        <v>0</v>
      </c>
      <c r="AH94" s="100">
        <f t="shared" si="5"/>
        <v>0</v>
      </c>
      <c r="AI94" s="100">
        <f t="shared" si="5"/>
        <v>2</v>
      </c>
    </row>
    <row r="95" spans="2:31" ht="12.75"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2:35" ht="13.5" thickBot="1">
      <c r="B96" s="46" t="s">
        <v>0</v>
      </c>
      <c r="C96" s="47">
        <v>38108</v>
      </c>
      <c r="D96" s="47">
        <v>38139</v>
      </c>
      <c r="E96" s="47">
        <v>38169</v>
      </c>
      <c r="F96" s="47">
        <v>38200</v>
      </c>
      <c r="G96" s="47">
        <v>38231</v>
      </c>
      <c r="H96" s="47">
        <v>38261</v>
      </c>
      <c r="I96" s="47">
        <v>38292</v>
      </c>
      <c r="J96" s="47">
        <v>38322</v>
      </c>
      <c r="K96" s="47">
        <v>38353</v>
      </c>
      <c r="L96" s="47">
        <v>38384</v>
      </c>
      <c r="M96" s="47">
        <v>38412</v>
      </c>
      <c r="N96" s="47">
        <v>38443</v>
      </c>
      <c r="O96" s="47">
        <v>38473</v>
      </c>
      <c r="P96" s="47">
        <v>38504</v>
      </c>
      <c r="Q96" s="47">
        <v>38534</v>
      </c>
      <c r="R96" s="47">
        <v>38565</v>
      </c>
      <c r="S96" s="47">
        <v>38596</v>
      </c>
      <c r="T96" s="47">
        <v>38626</v>
      </c>
      <c r="U96" s="47">
        <v>38657</v>
      </c>
      <c r="V96" s="47">
        <v>38687</v>
      </c>
      <c r="W96" s="47">
        <v>38718</v>
      </c>
      <c r="X96" s="47">
        <v>38749</v>
      </c>
      <c r="Y96" s="47">
        <v>38777</v>
      </c>
      <c r="Z96" s="47">
        <v>38808</v>
      </c>
      <c r="AA96" s="47">
        <v>38838</v>
      </c>
      <c r="AB96" s="47">
        <v>38869</v>
      </c>
      <c r="AC96" s="47">
        <v>38899</v>
      </c>
      <c r="AD96" s="47">
        <v>38930</v>
      </c>
      <c r="AE96" s="47">
        <v>38961</v>
      </c>
      <c r="AF96" s="47">
        <v>38991</v>
      </c>
      <c r="AG96" s="47">
        <v>39022</v>
      </c>
      <c r="AH96" s="47">
        <v>39052</v>
      </c>
      <c r="AI96" s="47">
        <v>39083</v>
      </c>
    </row>
    <row r="97" spans="2:35" ht="13.5" thickTop="1">
      <c r="B97" s="40" t="s">
        <v>27</v>
      </c>
      <c r="C97" s="41">
        <f>SUM(C66:C68)</f>
        <v>1395</v>
      </c>
      <c r="D97" s="41">
        <f aca="true" t="shared" si="6" ref="D97:AI97">SUM(D66:D68)</f>
        <v>1833</v>
      </c>
      <c r="E97" s="41">
        <f t="shared" si="6"/>
        <v>1601</v>
      </c>
      <c r="F97" s="41">
        <f t="shared" si="6"/>
        <v>1658</v>
      </c>
      <c r="G97" s="41">
        <f t="shared" si="6"/>
        <v>1613</v>
      </c>
      <c r="H97" s="41">
        <f t="shared" si="6"/>
        <v>1606</v>
      </c>
      <c r="I97" s="41">
        <f t="shared" si="6"/>
        <v>1683</v>
      </c>
      <c r="J97" s="41">
        <f t="shared" si="6"/>
        <v>1733</v>
      </c>
      <c r="K97" s="41">
        <f t="shared" si="6"/>
        <v>1652</v>
      </c>
      <c r="L97" s="41">
        <f t="shared" si="6"/>
        <v>1489</v>
      </c>
      <c r="M97" s="41">
        <f t="shared" si="6"/>
        <v>1787</v>
      </c>
      <c r="N97" s="41">
        <f t="shared" si="6"/>
        <v>1658</v>
      </c>
      <c r="O97" s="41">
        <f t="shared" si="6"/>
        <v>1765</v>
      </c>
      <c r="P97" s="41">
        <f t="shared" si="6"/>
        <v>1708</v>
      </c>
      <c r="Q97" s="41">
        <f t="shared" si="6"/>
        <v>1658</v>
      </c>
      <c r="R97" s="41">
        <f t="shared" si="6"/>
        <v>1849</v>
      </c>
      <c r="S97" s="41">
        <f t="shared" si="6"/>
        <v>1864</v>
      </c>
      <c r="T97" s="41">
        <f t="shared" si="6"/>
        <v>1913</v>
      </c>
      <c r="U97" s="41">
        <f t="shared" si="6"/>
        <v>1948</v>
      </c>
      <c r="V97" s="41">
        <f t="shared" si="6"/>
        <v>2054</v>
      </c>
      <c r="W97" s="41">
        <f t="shared" si="6"/>
        <v>1993</v>
      </c>
      <c r="X97" s="41">
        <f t="shared" si="6"/>
        <v>1880</v>
      </c>
      <c r="Y97" s="41">
        <f t="shared" si="6"/>
        <v>2128</v>
      </c>
      <c r="Z97" s="41">
        <f t="shared" si="6"/>
        <v>1883</v>
      </c>
      <c r="AA97" s="41">
        <f t="shared" si="6"/>
        <v>2157</v>
      </c>
      <c r="AB97" s="41">
        <f t="shared" si="6"/>
        <v>2097</v>
      </c>
      <c r="AC97" s="41">
        <f t="shared" si="6"/>
        <v>2001</v>
      </c>
      <c r="AD97" s="41">
        <f t="shared" si="6"/>
        <v>2083</v>
      </c>
      <c r="AE97" s="41">
        <f t="shared" si="6"/>
        <v>2044</v>
      </c>
      <c r="AF97" s="41">
        <f t="shared" si="6"/>
        <v>2262</v>
      </c>
      <c r="AG97" s="41">
        <f t="shared" si="6"/>
        <v>2137</v>
      </c>
      <c r="AH97" s="41">
        <f t="shared" si="6"/>
        <v>2060</v>
      </c>
      <c r="AI97" s="41">
        <f t="shared" si="6"/>
        <v>2364</v>
      </c>
    </row>
    <row r="98" spans="2:35" ht="12.75">
      <c r="B98" s="33" t="s">
        <v>28</v>
      </c>
      <c r="C98" s="34">
        <f>SUM(C69:C71)</f>
        <v>2992</v>
      </c>
      <c r="D98" s="34">
        <f aca="true" t="shared" si="7" ref="D98:AI98">SUM(D69:D71)</f>
        <v>3718</v>
      </c>
      <c r="E98" s="34">
        <f t="shared" si="7"/>
        <v>3381</v>
      </c>
      <c r="F98" s="34">
        <f t="shared" si="7"/>
        <v>3437</v>
      </c>
      <c r="G98" s="34">
        <f t="shared" si="7"/>
        <v>3502</v>
      </c>
      <c r="H98" s="34">
        <f t="shared" si="7"/>
        <v>3536</v>
      </c>
      <c r="I98" s="34">
        <f t="shared" si="7"/>
        <v>3624</v>
      </c>
      <c r="J98" s="34">
        <f t="shared" si="7"/>
        <v>3718</v>
      </c>
      <c r="K98" s="34">
        <f t="shared" si="7"/>
        <v>3710</v>
      </c>
      <c r="L98" s="34">
        <f t="shared" si="7"/>
        <v>3362</v>
      </c>
      <c r="M98" s="34">
        <f t="shared" si="7"/>
        <v>4062</v>
      </c>
      <c r="N98" s="34">
        <f t="shared" si="7"/>
        <v>3846</v>
      </c>
      <c r="O98" s="34">
        <f t="shared" si="7"/>
        <v>3966</v>
      </c>
      <c r="P98" s="34">
        <f t="shared" si="7"/>
        <v>3781</v>
      </c>
      <c r="Q98" s="34">
        <f t="shared" si="7"/>
        <v>3577</v>
      </c>
      <c r="R98" s="34">
        <f t="shared" si="7"/>
        <v>3842</v>
      </c>
      <c r="S98" s="34">
        <f t="shared" si="7"/>
        <v>3809</v>
      </c>
      <c r="T98" s="34">
        <f t="shared" si="7"/>
        <v>3652</v>
      </c>
      <c r="U98" s="34">
        <f t="shared" si="7"/>
        <v>3776</v>
      </c>
      <c r="V98" s="34">
        <f t="shared" si="7"/>
        <v>3818</v>
      </c>
      <c r="W98" s="34">
        <f t="shared" si="7"/>
        <v>3713</v>
      </c>
      <c r="X98" s="34">
        <f t="shared" si="7"/>
        <v>3506</v>
      </c>
      <c r="Y98" s="34">
        <f t="shared" si="7"/>
        <v>3822</v>
      </c>
      <c r="Z98" s="34">
        <f t="shared" si="7"/>
        <v>3399</v>
      </c>
      <c r="AA98" s="34">
        <f t="shared" si="7"/>
        <v>3740</v>
      </c>
      <c r="AB98" s="34">
        <f t="shared" si="7"/>
        <v>3754</v>
      </c>
      <c r="AC98" s="34">
        <f t="shared" si="7"/>
        <v>3375</v>
      </c>
      <c r="AD98" s="34">
        <f t="shared" si="7"/>
        <v>3670</v>
      </c>
      <c r="AE98" s="34">
        <f t="shared" si="7"/>
        <v>3486</v>
      </c>
      <c r="AF98" s="34">
        <f t="shared" si="7"/>
        <v>3743</v>
      </c>
      <c r="AG98" s="34">
        <f t="shared" si="7"/>
        <v>3549</v>
      </c>
      <c r="AH98" s="34">
        <f t="shared" si="7"/>
        <v>3362</v>
      </c>
      <c r="AI98" s="34">
        <f t="shared" si="7"/>
        <v>3886</v>
      </c>
    </row>
    <row r="99" spans="2:35" ht="12.75">
      <c r="B99" s="33" t="s">
        <v>54</v>
      </c>
      <c r="C99" s="34">
        <f>C72</f>
        <v>0</v>
      </c>
      <c r="D99" s="34">
        <f aca="true" t="shared" si="8" ref="D99:AI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0</v>
      </c>
      <c r="AA99" s="34">
        <f t="shared" si="8"/>
        <v>0</v>
      </c>
      <c r="AB99" s="34">
        <f t="shared" si="8"/>
        <v>10</v>
      </c>
      <c r="AC99" s="34">
        <f t="shared" si="8"/>
        <v>16</v>
      </c>
      <c r="AD99" s="34">
        <f t="shared" si="8"/>
        <v>23</v>
      </c>
      <c r="AE99" s="34">
        <f t="shared" si="8"/>
        <v>35</v>
      </c>
      <c r="AF99" s="34">
        <f t="shared" si="8"/>
        <v>63</v>
      </c>
      <c r="AG99" s="34">
        <f t="shared" si="8"/>
        <v>85</v>
      </c>
      <c r="AH99" s="34">
        <f t="shared" si="8"/>
        <v>101</v>
      </c>
      <c r="AI99" s="34">
        <f t="shared" si="8"/>
        <v>120</v>
      </c>
    </row>
    <row r="100" spans="2:35" ht="12.75">
      <c r="B100" s="33" t="s">
        <v>29</v>
      </c>
      <c r="C100" s="34">
        <f>SUM(C73:C75)</f>
        <v>664</v>
      </c>
      <c r="D100" s="34">
        <f aca="true" t="shared" si="9" ref="D100:AI100">SUM(D73:D75)</f>
        <v>820</v>
      </c>
      <c r="E100" s="34">
        <f t="shared" si="9"/>
        <v>714</v>
      </c>
      <c r="F100" s="34">
        <f t="shared" si="9"/>
        <v>743</v>
      </c>
      <c r="G100" s="34">
        <f t="shared" si="9"/>
        <v>762</v>
      </c>
      <c r="H100" s="34">
        <f t="shared" si="9"/>
        <v>760</v>
      </c>
      <c r="I100" s="34">
        <f t="shared" si="9"/>
        <v>806</v>
      </c>
      <c r="J100" s="34">
        <f t="shared" si="9"/>
        <v>858</v>
      </c>
      <c r="K100" s="34">
        <f t="shared" si="9"/>
        <v>795</v>
      </c>
      <c r="L100" s="34">
        <f t="shared" si="9"/>
        <v>749</v>
      </c>
      <c r="M100" s="34">
        <f t="shared" si="9"/>
        <v>927</v>
      </c>
      <c r="N100" s="34">
        <f t="shared" si="9"/>
        <v>812</v>
      </c>
      <c r="O100" s="34">
        <f t="shared" si="9"/>
        <v>934</v>
      </c>
      <c r="P100" s="34">
        <f t="shared" si="9"/>
        <v>851</v>
      </c>
      <c r="Q100" s="34">
        <f t="shared" si="9"/>
        <v>787</v>
      </c>
      <c r="R100" s="34">
        <f t="shared" si="9"/>
        <v>858</v>
      </c>
      <c r="S100" s="34">
        <f t="shared" si="9"/>
        <v>814</v>
      </c>
      <c r="T100" s="34">
        <f t="shared" si="9"/>
        <v>812</v>
      </c>
      <c r="U100" s="34">
        <f t="shared" si="9"/>
        <v>835</v>
      </c>
      <c r="V100" s="34">
        <f t="shared" si="9"/>
        <v>822</v>
      </c>
      <c r="W100" s="34">
        <f t="shared" si="9"/>
        <v>827</v>
      </c>
      <c r="X100" s="34">
        <f t="shared" si="9"/>
        <v>797</v>
      </c>
      <c r="Y100" s="34">
        <f t="shared" si="9"/>
        <v>830</v>
      </c>
      <c r="Z100" s="34">
        <f t="shared" si="9"/>
        <v>742</v>
      </c>
      <c r="AA100" s="34">
        <f t="shared" si="9"/>
        <v>835</v>
      </c>
      <c r="AB100" s="34">
        <f t="shared" si="9"/>
        <v>799</v>
      </c>
      <c r="AC100" s="34">
        <f t="shared" si="9"/>
        <v>738</v>
      </c>
      <c r="AD100" s="34">
        <f t="shared" si="9"/>
        <v>777</v>
      </c>
      <c r="AE100" s="34">
        <f t="shared" si="9"/>
        <v>715</v>
      </c>
      <c r="AF100" s="34">
        <f t="shared" si="9"/>
        <v>777</v>
      </c>
      <c r="AG100" s="34">
        <f t="shared" si="9"/>
        <v>709</v>
      </c>
      <c r="AH100" s="34">
        <f t="shared" si="9"/>
        <v>686</v>
      </c>
      <c r="AI100" s="34">
        <f t="shared" si="9"/>
        <v>756</v>
      </c>
    </row>
    <row r="101" spans="2:35" ht="12.75">
      <c r="B101" s="33" t="s">
        <v>30</v>
      </c>
      <c r="C101" s="34">
        <f>SUM(C76:C79)</f>
        <v>2135</v>
      </c>
      <c r="D101" s="34">
        <f aca="true" t="shared" si="10" ref="D101:AI101">SUM(D76:D79)</f>
        <v>2641</v>
      </c>
      <c r="E101" s="34">
        <f t="shared" si="10"/>
        <v>2381</v>
      </c>
      <c r="F101" s="34">
        <f t="shared" si="10"/>
        <v>2375</v>
      </c>
      <c r="G101" s="34">
        <f t="shared" si="10"/>
        <v>2452</v>
      </c>
      <c r="H101" s="34">
        <f t="shared" si="10"/>
        <v>2457</v>
      </c>
      <c r="I101" s="34">
        <f t="shared" si="10"/>
        <v>2607</v>
      </c>
      <c r="J101" s="34">
        <f t="shared" si="10"/>
        <v>2678</v>
      </c>
      <c r="K101" s="34">
        <f t="shared" si="10"/>
        <v>2599</v>
      </c>
      <c r="L101" s="34">
        <f t="shared" si="10"/>
        <v>2430</v>
      </c>
      <c r="M101" s="34">
        <f t="shared" si="10"/>
        <v>2919</v>
      </c>
      <c r="N101" s="34">
        <f t="shared" si="10"/>
        <v>2677</v>
      </c>
      <c r="O101" s="34">
        <f t="shared" si="10"/>
        <v>2868</v>
      </c>
      <c r="P101" s="34">
        <f t="shared" si="10"/>
        <v>2786</v>
      </c>
      <c r="Q101" s="34">
        <f t="shared" si="10"/>
        <v>2627</v>
      </c>
      <c r="R101" s="34">
        <f t="shared" si="10"/>
        <v>2791</v>
      </c>
      <c r="S101" s="34">
        <f t="shared" si="10"/>
        <v>2808</v>
      </c>
      <c r="T101" s="34">
        <f t="shared" si="10"/>
        <v>2663</v>
      </c>
      <c r="U101" s="34">
        <f t="shared" si="10"/>
        <v>2785</v>
      </c>
      <c r="V101" s="34">
        <f t="shared" si="10"/>
        <v>2853</v>
      </c>
      <c r="W101" s="34">
        <f t="shared" si="10"/>
        <v>2673</v>
      </c>
      <c r="X101" s="34">
        <f t="shared" si="10"/>
        <v>2602</v>
      </c>
      <c r="Y101" s="34">
        <f t="shared" si="10"/>
        <v>2869</v>
      </c>
      <c r="Z101" s="34">
        <f t="shared" si="10"/>
        <v>2448</v>
      </c>
      <c r="AA101" s="34">
        <f t="shared" si="10"/>
        <v>2859</v>
      </c>
      <c r="AB101" s="34">
        <f t="shared" si="10"/>
        <v>2800</v>
      </c>
      <c r="AC101" s="34">
        <f t="shared" si="10"/>
        <v>2593</v>
      </c>
      <c r="AD101" s="34">
        <f t="shared" si="10"/>
        <v>2819</v>
      </c>
      <c r="AE101" s="34">
        <f t="shared" si="10"/>
        <v>2615</v>
      </c>
      <c r="AF101" s="34">
        <f t="shared" si="10"/>
        <v>2813</v>
      </c>
      <c r="AG101" s="34">
        <f t="shared" si="10"/>
        <v>2670</v>
      </c>
      <c r="AH101" s="34">
        <f t="shared" si="10"/>
        <v>2551</v>
      </c>
      <c r="AI101" s="34">
        <f t="shared" si="10"/>
        <v>2897</v>
      </c>
    </row>
    <row r="102" spans="2:35" ht="12.75">
      <c r="B102" s="33" t="s">
        <v>31</v>
      </c>
      <c r="C102" s="34">
        <f>SUM(C80:C82)</f>
        <v>214</v>
      </c>
      <c r="D102" s="34">
        <f aca="true" t="shared" si="11" ref="D102:AI102">SUM(D80:D82)</f>
        <v>350</v>
      </c>
      <c r="E102" s="34">
        <f t="shared" si="11"/>
        <v>368</v>
      </c>
      <c r="F102" s="34">
        <f t="shared" si="11"/>
        <v>394</v>
      </c>
      <c r="G102" s="34">
        <f t="shared" si="11"/>
        <v>411</v>
      </c>
      <c r="H102" s="34">
        <f t="shared" si="11"/>
        <v>374</v>
      </c>
      <c r="I102" s="34">
        <f t="shared" si="11"/>
        <v>353</v>
      </c>
      <c r="J102" s="34">
        <f t="shared" si="11"/>
        <v>382</v>
      </c>
      <c r="K102" s="34">
        <f t="shared" si="11"/>
        <v>362</v>
      </c>
      <c r="L102" s="34">
        <f t="shared" si="11"/>
        <v>382</v>
      </c>
      <c r="M102" s="34">
        <f t="shared" si="11"/>
        <v>448</v>
      </c>
      <c r="N102" s="34">
        <f t="shared" si="11"/>
        <v>439</v>
      </c>
      <c r="O102" s="34">
        <f t="shared" si="11"/>
        <v>487</v>
      </c>
      <c r="P102" s="34">
        <f t="shared" si="11"/>
        <v>520</v>
      </c>
      <c r="Q102" s="34">
        <f t="shared" si="11"/>
        <v>501</v>
      </c>
      <c r="R102" s="34">
        <f t="shared" si="11"/>
        <v>530</v>
      </c>
      <c r="S102" s="34">
        <f t="shared" si="11"/>
        <v>546</v>
      </c>
      <c r="T102" s="34">
        <f t="shared" si="11"/>
        <v>512</v>
      </c>
      <c r="U102" s="34">
        <f t="shared" si="11"/>
        <v>565</v>
      </c>
      <c r="V102" s="34">
        <f t="shared" si="11"/>
        <v>602</v>
      </c>
      <c r="W102" s="34">
        <f t="shared" si="11"/>
        <v>592</v>
      </c>
      <c r="X102" s="34">
        <f t="shared" si="11"/>
        <v>653</v>
      </c>
      <c r="Y102" s="34">
        <f t="shared" si="11"/>
        <v>849</v>
      </c>
      <c r="Z102" s="34">
        <f t="shared" si="11"/>
        <v>811</v>
      </c>
      <c r="AA102" s="34">
        <f t="shared" si="11"/>
        <v>1007</v>
      </c>
      <c r="AB102" s="34">
        <f t="shared" si="11"/>
        <v>1152</v>
      </c>
      <c r="AC102" s="34">
        <f t="shared" si="11"/>
        <v>1094</v>
      </c>
      <c r="AD102" s="34">
        <f t="shared" si="11"/>
        <v>1264</v>
      </c>
      <c r="AE102" s="34">
        <f t="shared" si="11"/>
        <v>1193</v>
      </c>
      <c r="AF102" s="34">
        <f t="shared" si="11"/>
        <v>1369</v>
      </c>
      <c r="AG102" s="34">
        <f t="shared" si="11"/>
        <v>1337</v>
      </c>
      <c r="AH102" s="34">
        <f t="shared" si="11"/>
        <v>1307</v>
      </c>
      <c r="AI102" s="34">
        <f t="shared" si="11"/>
        <v>1577</v>
      </c>
    </row>
    <row r="103" spans="2:35" ht="12.75">
      <c r="B103" s="33" t="s">
        <v>32</v>
      </c>
      <c r="C103" s="34">
        <f>C83</f>
        <v>0</v>
      </c>
      <c r="D103" s="34">
        <f aca="true" t="shared" si="12" ref="D103:AI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0</v>
      </c>
      <c r="J103" s="34">
        <f t="shared" si="12"/>
        <v>0</v>
      </c>
      <c r="K103" s="34">
        <f t="shared" si="12"/>
        <v>25</v>
      </c>
      <c r="L103" s="34">
        <f t="shared" si="12"/>
        <v>64</v>
      </c>
      <c r="M103" s="34">
        <f t="shared" si="12"/>
        <v>148</v>
      </c>
      <c r="N103" s="34">
        <f t="shared" si="12"/>
        <v>174</v>
      </c>
      <c r="O103" s="34">
        <f t="shared" si="12"/>
        <v>244</v>
      </c>
      <c r="P103" s="34">
        <f t="shared" si="12"/>
        <v>246</v>
      </c>
      <c r="Q103" s="34">
        <f t="shared" si="12"/>
        <v>260</v>
      </c>
      <c r="R103" s="34">
        <f t="shared" si="12"/>
        <v>278</v>
      </c>
      <c r="S103" s="34">
        <f t="shared" si="12"/>
        <v>298</v>
      </c>
      <c r="T103" s="34">
        <f t="shared" si="12"/>
        <v>322</v>
      </c>
      <c r="U103" s="34">
        <f t="shared" si="12"/>
        <v>342</v>
      </c>
      <c r="V103" s="34">
        <f t="shared" si="12"/>
        <v>363</v>
      </c>
      <c r="W103" s="34">
        <f t="shared" si="12"/>
        <v>378</v>
      </c>
      <c r="X103" s="34">
        <f t="shared" si="12"/>
        <v>372</v>
      </c>
      <c r="Y103" s="34">
        <f t="shared" si="12"/>
        <v>429</v>
      </c>
      <c r="Z103" s="34">
        <f t="shared" si="12"/>
        <v>396</v>
      </c>
      <c r="AA103" s="34">
        <f t="shared" si="12"/>
        <v>442</v>
      </c>
      <c r="AB103" s="34">
        <f t="shared" si="12"/>
        <v>466</v>
      </c>
      <c r="AC103" s="34">
        <f t="shared" si="12"/>
        <v>428</v>
      </c>
      <c r="AD103" s="34">
        <f t="shared" si="12"/>
        <v>470</v>
      </c>
      <c r="AE103" s="34">
        <f t="shared" si="12"/>
        <v>424</v>
      </c>
      <c r="AF103" s="34">
        <f t="shared" si="12"/>
        <v>464</v>
      </c>
      <c r="AG103" s="34">
        <f t="shared" si="12"/>
        <v>440</v>
      </c>
      <c r="AH103" s="34">
        <f t="shared" si="12"/>
        <v>417</v>
      </c>
      <c r="AI103" s="34">
        <f t="shared" si="12"/>
        <v>483</v>
      </c>
    </row>
    <row r="104" spans="2:35" ht="12.75">
      <c r="B104" s="33" t="s">
        <v>33</v>
      </c>
      <c r="C104" s="34">
        <f>SUM(C84:C85)</f>
        <v>0</v>
      </c>
      <c r="D104" s="34">
        <f aca="true" t="shared" si="13" ref="D104:AI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0</v>
      </c>
      <c r="V104" s="34">
        <f t="shared" si="13"/>
        <v>0</v>
      </c>
      <c r="W104" s="34">
        <f t="shared" si="13"/>
        <v>8</v>
      </c>
      <c r="X104" s="34">
        <f t="shared" si="13"/>
        <v>41</v>
      </c>
      <c r="Y104" s="34">
        <f t="shared" si="13"/>
        <v>106</v>
      </c>
      <c r="Z104" s="34">
        <f t="shared" si="13"/>
        <v>114</v>
      </c>
      <c r="AA104" s="34">
        <f t="shared" si="13"/>
        <v>212</v>
      </c>
      <c r="AB104" s="34">
        <f t="shared" si="13"/>
        <v>218</v>
      </c>
      <c r="AC104" s="34">
        <f t="shared" si="13"/>
        <v>214</v>
      </c>
      <c r="AD104" s="34">
        <f t="shared" si="13"/>
        <v>253</v>
      </c>
      <c r="AE104" s="34">
        <f t="shared" si="13"/>
        <v>265</v>
      </c>
      <c r="AF104" s="34">
        <f t="shared" si="13"/>
        <v>276</v>
      </c>
      <c r="AG104" s="34">
        <f t="shared" si="13"/>
        <v>283</v>
      </c>
      <c r="AH104" s="34">
        <f t="shared" si="13"/>
        <v>304</v>
      </c>
      <c r="AI104" s="34">
        <f t="shared" si="13"/>
        <v>354</v>
      </c>
    </row>
    <row r="105" spans="2:35" ht="12.75">
      <c r="B105" s="33" t="s">
        <v>34</v>
      </c>
      <c r="C105" s="34">
        <f>C86</f>
        <v>39</v>
      </c>
      <c r="D105" s="34">
        <f aca="true" t="shared" si="14" ref="D105:AI105">D86</f>
        <v>29</v>
      </c>
      <c r="E105" s="34">
        <f t="shared" si="14"/>
        <v>35</v>
      </c>
      <c r="F105" s="34">
        <f t="shared" si="14"/>
        <v>31</v>
      </c>
      <c r="G105" s="34">
        <f t="shared" si="14"/>
        <v>29</v>
      </c>
      <c r="H105" s="34">
        <f t="shared" si="14"/>
        <v>27</v>
      </c>
      <c r="I105" s="34">
        <f t="shared" si="14"/>
        <v>25</v>
      </c>
      <c r="J105" s="34">
        <f t="shared" si="14"/>
        <v>33</v>
      </c>
      <c r="K105" s="34">
        <f t="shared" si="14"/>
        <v>24</v>
      </c>
      <c r="L105" s="34">
        <f t="shared" si="14"/>
        <v>26</v>
      </c>
      <c r="M105" s="34">
        <f t="shared" si="14"/>
        <v>36</v>
      </c>
      <c r="N105" s="34">
        <f t="shared" si="14"/>
        <v>30</v>
      </c>
      <c r="O105" s="34">
        <f t="shared" si="14"/>
        <v>28</v>
      </c>
      <c r="P105" s="34">
        <f t="shared" si="14"/>
        <v>29</v>
      </c>
      <c r="Q105" s="34">
        <f t="shared" si="14"/>
        <v>31</v>
      </c>
      <c r="R105" s="34">
        <f t="shared" si="14"/>
        <v>35</v>
      </c>
      <c r="S105" s="34">
        <f t="shared" si="14"/>
        <v>26</v>
      </c>
      <c r="T105" s="34">
        <f t="shared" si="14"/>
        <v>37</v>
      </c>
      <c r="U105" s="34">
        <f t="shared" si="14"/>
        <v>31</v>
      </c>
      <c r="V105" s="34">
        <f t="shared" si="14"/>
        <v>34</v>
      </c>
      <c r="W105" s="34">
        <f t="shared" si="14"/>
        <v>37</v>
      </c>
      <c r="X105" s="34">
        <f t="shared" si="14"/>
        <v>26</v>
      </c>
      <c r="Y105" s="34">
        <f t="shared" si="14"/>
        <v>36</v>
      </c>
      <c r="Z105" s="34">
        <f t="shared" si="14"/>
        <v>30</v>
      </c>
      <c r="AA105" s="34">
        <f t="shared" si="14"/>
        <v>29</v>
      </c>
      <c r="AB105" s="34">
        <f t="shared" si="14"/>
        <v>38</v>
      </c>
      <c r="AC105" s="34">
        <f t="shared" si="14"/>
        <v>28</v>
      </c>
      <c r="AD105" s="34">
        <f t="shared" si="14"/>
        <v>35</v>
      </c>
      <c r="AE105" s="34">
        <f t="shared" si="14"/>
        <v>30</v>
      </c>
      <c r="AF105" s="34">
        <f t="shared" si="14"/>
        <v>36</v>
      </c>
      <c r="AG105" s="34">
        <f t="shared" si="14"/>
        <v>37</v>
      </c>
      <c r="AH105" s="34">
        <f t="shared" si="14"/>
        <v>33</v>
      </c>
      <c r="AI105" s="34">
        <f t="shared" si="14"/>
        <v>40</v>
      </c>
    </row>
    <row r="106" spans="2:35" ht="12.75">
      <c r="B106" s="33" t="s">
        <v>35</v>
      </c>
      <c r="C106" s="34">
        <f>SUM(C88:C93)</f>
        <v>2395</v>
      </c>
      <c r="D106" s="34">
        <f aca="true" t="shared" si="15" ref="D106:AI106">SUM(D88:D93)</f>
        <v>2939</v>
      </c>
      <c r="E106" s="34">
        <f t="shared" si="15"/>
        <v>2752</v>
      </c>
      <c r="F106" s="34">
        <f t="shared" si="15"/>
        <v>2646</v>
      </c>
      <c r="G106" s="34">
        <f t="shared" si="15"/>
        <v>2708</v>
      </c>
      <c r="H106" s="34">
        <f t="shared" si="15"/>
        <v>2691</v>
      </c>
      <c r="I106" s="34">
        <f t="shared" si="15"/>
        <v>2803</v>
      </c>
      <c r="J106" s="34">
        <f t="shared" si="15"/>
        <v>2908</v>
      </c>
      <c r="K106" s="34">
        <f t="shared" si="15"/>
        <v>2757</v>
      </c>
      <c r="L106" s="34">
        <f t="shared" si="15"/>
        <v>2602</v>
      </c>
      <c r="M106" s="34">
        <f t="shared" si="15"/>
        <v>3012</v>
      </c>
      <c r="N106" s="34">
        <f t="shared" si="15"/>
        <v>2842</v>
      </c>
      <c r="O106" s="34">
        <f t="shared" si="15"/>
        <v>2948</v>
      </c>
      <c r="P106" s="34">
        <f t="shared" si="15"/>
        <v>2874</v>
      </c>
      <c r="Q106" s="34">
        <f t="shared" si="15"/>
        <v>2708</v>
      </c>
      <c r="R106" s="34">
        <f t="shared" si="15"/>
        <v>2896</v>
      </c>
      <c r="S106" s="34">
        <f t="shared" si="15"/>
        <v>2844</v>
      </c>
      <c r="T106" s="34">
        <f t="shared" si="15"/>
        <v>2785</v>
      </c>
      <c r="U106" s="34">
        <f t="shared" si="15"/>
        <v>2905</v>
      </c>
      <c r="V106" s="34">
        <f t="shared" si="15"/>
        <v>2948</v>
      </c>
      <c r="W106" s="34">
        <f t="shared" si="15"/>
        <v>2854</v>
      </c>
      <c r="X106" s="34">
        <f t="shared" si="15"/>
        <v>2669</v>
      </c>
      <c r="Y106" s="34">
        <f t="shared" si="15"/>
        <v>3000</v>
      </c>
      <c r="Z106" s="34">
        <f t="shared" si="15"/>
        <v>2593</v>
      </c>
      <c r="AA106" s="34">
        <f t="shared" si="15"/>
        <v>2862</v>
      </c>
      <c r="AB106" s="34">
        <f t="shared" si="15"/>
        <v>2961</v>
      </c>
      <c r="AC106" s="34">
        <f t="shared" si="15"/>
        <v>2754</v>
      </c>
      <c r="AD106" s="34">
        <f t="shared" si="15"/>
        <v>2928</v>
      </c>
      <c r="AE106" s="34">
        <f t="shared" si="15"/>
        <v>2697</v>
      </c>
      <c r="AF106" s="34">
        <f t="shared" si="15"/>
        <v>3023</v>
      </c>
      <c r="AG106" s="34">
        <f t="shared" si="15"/>
        <v>2794</v>
      </c>
      <c r="AH106" s="34">
        <f t="shared" si="15"/>
        <v>2745</v>
      </c>
      <c r="AI106" s="34">
        <f t="shared" si="15"/>
        <v>3112</v>
      </c>
    </row>
    <row r="107" spans="2:35" ht="13.5" thickBot="1">
      <c r="B107" s="35" t="s">
        <v>109</v>
      </c>
      <c r="C107" s="36">
        <f>C94</f>
        <v>0</v>
      </c>
      <c r="D107" s="36">
        <f aca="true" t="shared" si="16" ref="D107:AI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0</v>
      </c>
      <c r="AH107" s="36">
        <f t="shared" si="16"/>
        <v>0</v>
      </c>
      <c r="AI107" s="36">
        <f t="shared" si="16"/>
        <v>2</v>
      </c>
    </row>
    <row r="108" spans="2:35" ht="13.5" thickTop="1">
      <c r="B108" s="37" t="s">
        <v>36</v>
      </c>
      <c r="C108" s="48">
        <f>SUM(C97:C107)</f>
        <v>9834</v>
      </c>
      <c r="D108" s="48">
        <f aca="true" t="shared" si="17" ref="D108:AI108">SUM(D97:D107)</f>
        <v>12330</v>
      </c>
      <c r="E108" s="48">
        <f t="shared" si="17"/>
        <v>11232</v>
      </c>
      <c r="F108" s="48">
        <f t="shared" si="17"/>
        <v>11284</v>
      </c>
      <c r="G108" s="48">
        <f t="shared" si="17"/>
        <v>11477</v>
      </c>
      <c r="H108" s="48">
        <f t="shared" si="17"/>
        <v>11451</v>
      </c>
      <c r="I108" s="48">
        <f t="shared" si="17"/>
        <v>11901</v>
      </c>
      <c r="J108" s="48">
        <f t="shared" si="17"/>
        <v>12310</v>
      </c>
      <c r="K108" s="48">
        <f t="shared" si="17"/>
        <v>11924</v>
      </c>
      <c r="L108" s="48">
        <f t="shared" si="17"/>
        <v>11104</v>
      </c>
      <c r="M108" s="48">
        <f t="shared" si="17"/>
        <v>13339</v>
      </c>
      <c r="N108" s="48">
        <f t="shared" si="17"/>
        <v>12478</v>
      </c>
      <c r="O108" s="48">
        <f t="shared" si="17"/>
        <v>13240</v>
      </c>
      <c r="P108" s="48">
        <f t="shared" si="17"/>
        <v>12795</v>
      </c>
      <c r="Q108" s="48">
        <f t="shared" si="17"/>
        <v>12149</v>
      </c>
      <c r="R108" s="48">
        <f t="shared" si="17"/>
        <v>13079</v>
      </c>
      <c r="S108" s="48">
        <f t="shared" si="17"/>
        <v>13009</v>
      </c>
      <c r="T108" s="48">
        <f t="shared" si="17"/>
        <v>12696</v>
      </c>
      <c r="U108" s="48">
        <f t="shared" si="17"/>
        <v>13187</v>
      </c>
      <c r="V108" s="48">
        <f t="shared" si="17"/>
        <v>13494</v>
      </c>
      <c r="W108" s="48">
        <f t="shared" si="17"/>
        <v>13075</v>
      </c>
      <c r="X108" s="48">
        <f t="shared" si="17"/>
        <v>12546</v>
      </c>
      <c r="Y108" s="48">
        <f t="shared" si="17"/>
        <v>14069</v>
      </c>
      <c r="Z108" s="48">
        <f t="shared" si="17"/>
        <v>12416</v>
      </c>
      <c r="AA108" s="48">
        <f t="shared" si="17"/>
        <v>14143</v>
      </c>
      <c r="AB108" s="48">
        <f t="shared" si="17"/>
        <v>14295</v>
      </c>
      <c r="AC108" s="48">
        <f t="shared" si="17"/>
        <v>13241</v>
      </c>
      <c r="AD108" s="48">
        <f t="shared" si="17"/>
        <v>14322</v>
      </c>
      <c r="AE108" s="48">
        <f t="shared" si="17"/>
        <v>13504</v>
      </c>
      <c r="AF108" s="48">
        <f t="shared" si="17"/>
        <v>14826</v>
      </c>
      <c r="AG108" s="48">
        <f t="shared" si="17"/>
        <v>14041</v>
      </c>
      <c r="AH108" s="48">
        <f t="shared" si="17"/>
        <v>13566</v>
      </c>
      <c r="AI108" s="48">
        <f t="shared" si="17"/>
        <v>15591</v>
      </c>
    </row>
    <row r="109" spans="2:35" s="14" customFormat="1" ht="13.5" thickBot="1">
      <c r="B109" s="49" t="s">
        <v>37</v>
      </c>
      <c r="C109" s="50">
        <f>SUM(C97:C99)</f>
        <v>4387</v>
      </c>
      <c r="D109" s="50">
        <f aca="true" t="shared" si="18" ref="D109:AI109">SUM(D97:D99)</f>
        <v>5551</v>
      </c>
      <c r="E109" s="50">
        <f t="shared" si="18"/>
        <v>4982</v>
      </c>
      <c r="F109" s="50">
        <f t="shared" si="18"/>
        <v>5095</v>
      </c>
      <c r="G109" s="50">
        <f t="shared" si="18"/>
        <v>5115</v>
      </c>
      <c r="H109" s="50">
        <f t="shared" si="18"/>
        <v>5142</v>
      </c>
      <c r="I109" s="50">
        <f t="shared" si="18"/>
        <v>5307</v>
      </c>
      <c r="J109" s="50">
        <f t="shared" si="18"/>
        <v>5451</v>
      </c>
      <c r="K109" s="50">
        <f t="shared" si="18"/>
        <v>5362</v>
      </c>
      <c r="L109" s="50">
        <f t="shared" si="18"/>
        <v>4851</v>
      </c>
      <c r="M109" s="50">
        <f t="shared" si="18"/>
        <v>5849</v>
      </c>
      <c r="N109" s="50">
        <f t="shared" si="18"/>
        <v>5504</v>
      </c>
      <c r="O109" s="50">
        <f t="shared" si="18"/>
        <v>5731</v>
      </c>
      <c r="P109" s="50">
        <f t="shared" si="18"/>
        <v>5489</v>
      </c>
      <c r="Q109" s="50">
        <f t="shared" si="18"/>
        <v>5235</v>
      </c>
      <c r="R109" s="50">
        <f t="shared" si="18"/>
        <v>5691</v>
      </c>
      <c r="S109" s="50">
        <f t="shared" si="18"/>
        <v>5673</v>
      </c>
      <c r="T109" s="50">
        <f t="shared" si="18"/>
        <v>5565</v>
      </c>
      <c r="U109" s="50">
        <f t="shared" si="18"/>
        <v>5724</v>
      </c>
      <c r="V109" s="50">
        <f t="shared" si="18"/>
        <v>5872</v>
      </c>
      <c r="W109" s="50">
        <f t="shared" si="18"/>
        <v>5706</v>
      </c>
      <c r="X109" s="50">
        <f t="shared" si="18"/>
        <v>5386</v>
      </c>
      <c r="Y109" s="50">
        <f t="shared" si="18"/>
        <v>5950</v>
      </c>
      <c r="Z109" s="50">
        <f t="shared" si="18"/>
        <v>5282</v>
      </c>
      <c r="AA109" s="50">
        <f t="shared" si="18"/>
        <v>5897</v>
      </c>
      <c r="AB109" s="50">
        <f t="shared" si="18"/>
        <v>5861</v>
      </c>
      <c r="AC109" s="50">
        <f t="shared" si="18"/>
        <v>5392</v>
      </c>
      <c r="AD109" s="50">
        <f t="shared" si="18"/>
        <v>5776</v>
      </c>
      <c r="AE109" s="50">
        <f t="shared" si="18"/>
        <v>5565</v>
      </c>
      <c r="AF109" s="50">
        <f t="shared" si="18"/>
        <v>6068</v>
      </c>
      <c r="AG109" s="50">
        <f t="shared" si="18"/>
        <v>5771</v>
      </c>
      <c r="AH109" s="50">
        <f t="shared" si="18"/>
        <v>5523</v>
      </c>
      <c r="AI109" s="50">
        <f t="shared" si="18"/>
        <v>6370</v>
      </c>
    </row>
    <row r="110" spans="2:35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42" t="s">
        <v>0</v>
      </c>
      <c r="C114" s="47">
        <v>38108</v>
      </c>
      <c r="D114" s="47">
        <v>38139</v>
      </c>
      <c r="E114" s="47">
        <v>38169</v>
      </c>
      <c r="F114" s="47">
        <v>38200</v>
      </c>
      <c r="G114" s="47">
        <v>38231</v>
      </c>
      <c r="H114" s="47">
        <v>38261</v>
      </c>
      <c r="I114" s="47">
        <v>38292</v>
      </c>
      <c r="J114" s="47">
        <v>38322</v>
      </c>
      <c r="K114" s="47">
        <v>38353</v>
      </c>
      <c r="L114" s="47">
        <v>38384</v>
      </c>
      <c r="M114" s="47">
        <v>38412</v>
      </c>
      <c r="N114" s="47">
        <v>38443</v>
      </c>
      <c r="O114" s="47">
        <v>38473</v>
      </c>
      <c r="P114" s="47">
        <v>38504</v>
      </c>
      <c r="Q114" s="47">
        <v>38534</v>
      </c>
      <c r="R114" s="47">
        <v>38565</v>
      </c>
      <c r="S114" s="47">
        <v>38596</v>
      </c>
      <c r="T114" s="47">
        <v>38626</v>
      </c>
      <c r="U114" s="47">
        <v>38657</v>
      </c>
      <c r="V114" s="47">
        <v>38687</v>
      </c>
      <c r="W114" s="47">
        <v>38718</v>
      </c>
      <c r="X114" s="47">
        <v>38749</v>
      </c>
      <c r="Y114" s="47">
        <v>38777</v>
      </c>
      <c r="Z114" s="47">
        <v>38808</v>
      </c>
      <c r="AA114" s="47">
        <v>38838</v>
      </c>
      <c r="AB114" s="47">
        <v>38869</v>
      </c>
      <c r="AC114" s="47">
        <v>38899</v>
      </c>
      <c r="AD114" s="47">
        <v>38930</v>
      </c>
      <c r="AE114" s="47">
        <v>38961</v>
      </c>
      <c r="AF114" s="47">
        <v>38991</v>
      </c>
      <c r="AG114" s="47">
        <v>39022</v>
      </c>
      <c r="AH114" s="47">
        <v>39052</v>
      </c>
      <c r="AI114" s="47">
        <v>39083</v>
      </c>
    </row>
    <row r="115" spans="2:35" ht="13.5" thickTop="1">
      <c r="B115" s="40" t="s">
        <v>27</v>
      </c>
      <c r="C115" s="43">
        <f aca="true" t="shared" si="19" ref="C115:C127">C97/C$108</f>
        <v>0.14185478950579622</v>
      </c>
      <c r="D115" s="43">
        <f aca="true" t="shared" si="20" ref="D115:AB115">D97/D$108</f>
        <v>0.148661800486618</v>
      </c>
      <c r="E115" s="43">
        <f t="shared" si="20"/>
        <v>0.1425391737891738</v>
      </c>
      <c r="F115" s="43">
        <f t="shared" si="20"/>
        <v>0.1469337114498405</v>
      </c>
      <c r="G115" s="43">
        <f t="shared" si="20"/>
        <v>0.14054195347216172</v>
      </c>
      <c r="H115" s="43">
        <f t="shared" si="20"/>
        <v>0.14024975984630164</v>
      </c>
      <c r="I115" s="43">
        <f t="shared" si="20"/>
        <v>0.14141668767330476</v>
      </c>
      <c r="J115" s="43">
        <f t="shared" si="20"/>
        <v>0.14077985377741672</v>
      </c>
      <c r="K115" s="43">
        <f t="shared" si="20"/>
        <v>0.13854411271385442</v>
      </c>
      <c r="L115" s="43">
        <f t="shared" si="20"/>
        <v>0.13409582132564843</v>
      </c>
      <c r="M115" s="43">
        <f t="shared" si="20"/>
        <v>0.1339680635729815</v>
      </c>
      <c r="N115" s="43">
        <f t="shared" si="20"/>
        <v>0.13287385799006252</v>
      </c>
      <c r="O115" s="43">
        <f t="shared" si="20"/>
        <v>0.13330815709969787</v>
      </c>
      <c r="P115" s="43">
        <f t="shared" si="20"/>
        <v>0.13348964439234076</v>
      </c>
      <c r="Q115" s="43">
        <f t="shared" si="20"/>
        <v>0.13647213762449584</v>
      </c>
      <c r="R115" s="43">
        <f t="shared" si="20"/>
        <v>0.14137166450034405</v>
      </c>
      <c r="S115" s="43">
        <f t="shared" si="20"/>
        <v>0.14328541778768544</v>
      </c>
      <c r="T115" s="43">
        <f t="shared" si="20"/>
        <v>0.15067737870195339</v>
      </c>
      <c r="U115" s="43">
        <f t="shared" si="20"/>
        <v>0.14772124061575795</v>
      </c>
      <c r="V115" s="43">
        <f t="shared" si="20"/>
        <v>0.15221579961464354</v>
      </c>
      <c r="W115" s="43">
        <f t="shared" si="20"/>
        <v>0.15242829827915869</v>
      </c>
      <c r="X115" s="43">
        <f t="shared" si="20"/>
        <v>0.14984855730910251</v>
      </c>
      <c r="Y115" s="43">
        <f t="shared" si="20"/>
        <v>0.151254531238894</v>
      </c>
      <c r="Z115" s="43">
        <f t="shared" si="20"/>
        <v>0.15165914948453607</v>
      </c>
      <c r="AA115" s="43">
        <f t="shared" si="20"/>
        <v>0.15251361097362653</v>
      </c>
      <c r="AB115" s="43">
        <f t="shared" si="20"/>
        <v>0.14669464847848898</v>
      </c>
      <c r="AC115" s="43">
        <f aca="true" t="shared" si="21" ref="AC115:AI124">AC97/AC$108</f>
        <v>0.1511215165017748</v>
      </c>
      <c r="AD115" s="43">
        <f t="shared" si="21"/>
        <v>0.1454405809244519</v>
      </c>
      <c r="AE115" s="43">
        <f t="shared" si="21"/>
        <v>0.15136255924170616</v>
      </c>
      <c r="AF115" s="43">
        <f t="shared" si="21"/>
        <v>0.15256980979360582</v>
      </c>
      <c r="AG115" s="43">
        <f t="shared" si="21"/>
        <v>0.15219713695605727</v>
      </c>
      <c r="AH115" s="43">
        <f t="shared" si="21"/>
        <v>0.1518502137697184</v>
      </c>
      <c r="AI115" s="43">
        <f t="shared" si="21"/>
        <v>0.1516259380411776</v>
      </c>
    </row>
    <row r="116" spans="2:35" ht="12.75">
      <c r="B116" s="33" t="s">
        <v>28</v>
      </c>
      <c r="C116" s="38">
        <f t="shared" si="19"/>
        <v>0.3042505592841163</v>
      </c>
      <c r="D116" s="38">
        <f aca="true" t="shared" si="22" ref="D116:AB116">D98/D$108</f>
        <v>0.30154095701540956</v>
      </c>
      <c r="E116" s="38">
        <f t="shared" si="22"/>
        <v>0.30101495726495725</v>
      </c>
      <c r="F116" s="38">
        <f t="shared" si="22"/>
        <v>0.304590570719603</v>
      </c>
      <c r="G116" s="38">
        <f t="shared" si="22"/>
        <v>0.3051320031367082</v>
      </c>
      <c r="H116" s="38">
        <f t="shared" si="22"/>
        <v>0.30879399179110995</v>
      </c>
      <c r="I116" s="38">
        <f t="shared" si="22"/>
        <v>0.30451222586337284</v>
      </c>
      <c r="J116" s="38">
        <f t="shared" si="22"/>
        <v>0.30203086921202277</v>
      </c>
      <c r="K116" s="38">
        <f t="shared" si="22"/>
        <v>0.31113720228111374</v>
      </c>
      <c r="L116" s="38">
        <f t="shared" si="22"/>
        <v>0.30277377521613835</v>
      </c>
      <c r="M116" s="38">
        <f t="shared" si="22"/>
        <v>0.30452057875402955</v>
      </c>
      <c r="N116" s="38">
        <f t="shared" si="22"/>
        <v>0.3082224715499279</v>
      </c>
      <c r="O116" s="38">
        <f t="shared" si="22"/>
        <v>0.29954682779456193</v>
      </c>
      <c r="P116" s="38">
        <f t="shared" si="22"/>
        <v>0.29550605705353655</v>
      </c>
      <c r="Q116" s="38">
        <f t="shared" si="22"/>
        <v>0.2944275248991687</v>
      </c>
      <c r="R116" s="38">
        <f t="shared" si="22"/>
        <v>0.29375334505696155</v>
      </c>
      <c r="S116" s="38">
        <f t="shared" si="22"/>
        <v>0.29279729418095163</v>
      </c>
      <c r="T116" s="38">
        <f t="shared" si="22"/>
        <v>0.2876496534341525</v>
      </c>
      <c r="U116" s="38">
        <f t="shared" si="22"/>
        <v>0.28634261014635626</v>
      </c>
      <c r="V116" s="38">
        <f t="shared" si="22"/>
        <v>0.2829405661775604</v>
      </c>
      <c r="W116" s="38">
        <f t="shared" si="22"/>
        <v>0.2839770554493308</v>
      </c>
      <c r="X116" s="38">
        <f t="shared" si="22"/>
        <v>0.2794516180455922</v>
      </c>
      <c r="Y116" s="38">
        <f t="shared" si="22"/>
        <v>0.27166109886985573</v>
      </c>
      <c r="Z116" s="38">
        <f t="shared" si="22"/>
        <v>0.2737596649484536</v>
      </c>
      <c r="AA116" s="38">
        <f t="shared" si="22"/>
        <v>0.26444177331542107</v>
      </c>
      <c r="AB116" s="38">
        <f t="shared" si="22"/>
        <v>0.26260930395243093</v>
      </c>
      <c r="AC116" s="38">
        <f t="shared" si="21"/>
        <v>0.2548901140397251</v>
      </c>
      <c r="AD116" s="38">
        <f t="shared" si="21"/>
        <v>0.25624912721686915</v>
      </c>
      <c r="AE116" s="38">
        <f t="shared" si="21"/>
        <v>0.2581457345971564</v>
      </c>
      <c r="AF116" s="38">
        <f t="shared" si="21"/>
        <v>0.25246189127208957</v>
      </c>
      <c r="AG116" s="38">
        <f t="shared" si="21"/>
        <v>0.2527597749448045</v>
      </c>
      <c r="AH116" s="38">
        <f t="shared" si="21"/>
        <v>0.24782544596786082</v>
      </c>
      <c r="AI116" s="38">
        <f t="shared" si="21"/>
        <v>0.24924636007953307</v>
      </c>
    </row>
    <row r="117" spans="2:35" ht="12.75">
      <c r="B117" s="33" t="s">
        <v>54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</v>
      </c>
      <c r="AA117" s="38">
        <f t="shared" si="23"/>
        <v>0</v>
      </c>
      <c r="AB117" s="38">
        <f t="shared" si="23"/>
        <v>0.0006995452955578874</v>
      </c>
      <c r="AC117" s="38">
        <f t="shared" si="21"/>
        <v>0.0012083679480401782</v>
      </c>
      <c r="AD117" s="38">
        <f t="shared" si="21"/>
        <v>0.0016059209607596704</v>
      </c>
      <c r="AE117" s="38">
        <f t="shared" si="21"/>
        <v>0.002591824644549763</v>
      </c>
      <c r="AF117" s="38">
        <f t="shared" si="21"/>
        <v>0.00424929178470255</v>
      </c>
      <c r="AG117" s="38">
        <f t="shared" si="21"/>
        <v>0.006053699878926002</v>
      </c>
      <c r="AH117" s="38">
        <f t="shared" si="21"/>
        <v>0.007445083296476486</v>
      </c>
      <c r="AI117" s="38">
        <f t="shared" si="21"/>
        <v>0.007696748123917645</v>
      </c>
    </row>
    <row r="118" spans="2:35" ht="12.75">
      <c r="B118" s="33" t="s">
        <v>29</v>
      </c>
      <c r="C118" s="38">
        <f t="shared" si="19"/>
        <v>0.06752084604433597</v>
      </c>
      <c r="D118" s="38">
        <f aca="true" t="shared" si="24" ref="D118:AB118">D100/D$108</f>
        <v>0.0665044606650446</v>
      </c>
      <c r="E118" s="38">
        <f t="shared" si="24"/>
        <v>0.06356837606837606</v>
      </c>
      <c r="F118" s="38">
        <f t="shared" si="24"/>
        <v>0.06584544487770294</v>
      </c>
      <c r="G118" s="38">
        <f t="shared" si="24"/>
        <v>0.06639365687897535</v>
      </c>
      <c r="H118" s="38">
        <f t="shared" si="24"/>
        <v>0.06636974936686753</v>
      </c>
      <c r="I118" s="38">
        <f t="shared" si="24"/>
        <v>0.06772540122678766</v>
      </c>
      <c r="J118" s="38">
        <f t="shared" si="24"/>
        <v>0.06969943135662063</v>
      </c>
      <c r="K118" s="38">
        <f t="shared" si="24"/>
        <v>0.06667225763166723</v>
      </c>
      <c r="L118" s="38">
        <f t="shared" si="24"/>
        <v>0.06745317002881844</v>
      </c>
      <c r="M118" s="38">
        <f t="shared" si="24"/>
        <v>0.06949546442761827</v>
      </c>
      <c r="N118" s="38">
        <f t="shared" si="24"/>
        <v>0.06507453117486776</v>
      </c>
      <c r="O118" s="38">
        <f t="shared" si="24"/>
        <v>0.07054380664652568</v>
      </c>
      <c r="P118" s="38">
        <f t="shared" si="24"/>
        <v>0.06651035560765924</v>
      </c>
      <c r="Q118" s="38">
        <f t="shared" si="24"/>
        <v>0.0647789941558976</v>
      </c>
      <c r="R118" s="38">
        <f t="shared" si="24"/>
        <v>0.0656013456686291</v>
      </c>
      <c r="S118" s="38">
        <f t="shared" si="24"/>
        <v>0.06257206549312015</v>
      </c>
      <c r="T118" s="38">
        <f t="shared" si="24"/>
        <v>0.06395715185885319</v>
      </c>
      <c r="U118" s="38">
        <f t="shared" si="24"/>
        <v>0.06331993630090241</v>
      </c>
      <c r="V118" s="38">
        <f t="shared" si="24"/>
        <v>0.0609159626500667</v>
      </c>
      <c r="W118" s="38">
        <f t="shared" si="24"/>
        <v>0.06325047801147228</v>
      </c>
      <c r="X118" s="38">
        <f t="shared" si="24"/>
        <v>0.0635262234975291</v>
      </c>
      <c r="Y118" s="38">
        <f t="shared" si="24"/>
        <v>0.05899495344374156</v>
      </c>
      <c r="Z118" s="38">
        <f t="shared" si="24"/>
        <v>0.05976159793814433</v>
      </c>
      <c r="AA118" s="38">
        <f t="shared" si="24"/>
        <v>0.05903980767871032</v>
      </c>
      <c r="AB118" s="38">
        <f t="shared" si="24"/>
        <v>0.0558936691150752</v>
      </c>
      <c r="AC118" s="38">
        <f t="shared" si="21"/>
        <v>0.055735971603353224</v>
      </c>
      <c r="AD118" s="38">
        <f t="shared" si="21"/>
        <v>0.054252199413489736</v>
      </c>
      <c r="AE118" s="38">
        <f t="shared" si="21"/>
        <v>0.052947274881516584</v>
      </c>
      <c r="AF118" s="38">
        <f t="shared" si="21"/>
        <v>0.05240793201133145</v>
      </c>
      <c r="AG118" s="38">
        <f t="shared" si="21"/>
        <v>0.05049497899010042</v>
      </c>
      <c r="AH118" s="38">
        <f t="shared" si="21"/>
        <v>0.05056759545923633</v>
      </c>
      <c r="AI118" s="38">
        <f t="shared" si="21"/>
        <v>0.04848951318068116</v>
      </c>
    </row>
    <row r="119" spans="2:35" ht="12.75">
      <c r="B119" s="33" t="s">
        <v>30</v>
      </c>
      <c r="C119" s="38">
        <f t="shared" si="19"/>
        <v>0.21710392515761642</v>
      </c>
      <c r="D119" s="38">
        <f aca="true" t="shared" si="25" ref="D119:AB119">D101/D$108</f>
        <v>0.21419302514193025</v>
      </c>
      <c r="E119" s="38">
        <f t="shared" si="25"/>
        <v>0.21198361823361822</v>
      </c>
      <c r="F119" s="38">
        <f t="shared" si="25"/>
        <v>0.21047500886210563</v>
      </c>
      <c r="G119" s="38">
        <f t="shared" si="25"/>
        <v>0.21364468066567918</v>
      </c>
      <c r="H119" s="38">
        <f t="shared" si="25"/>
        <v>0.21456641341367566</v>
      </c>
      <c r="I119" s="38">
        <f t="shared" si="25"/>
        <v>0.21905722208217795</v>
      </c>
      <c r="J119" s="38">
        <f t="shared" si="25"/>
        <v>0.21754670999187653</v>
      </c>
      <c r="K119" s="38">
        <f t="shared" si="25"/>
        <v>0.2179637705467964</v>
      </c>
      <c r="L119" s="38">
        <f t="shared" si="25"/>
        <v>0.2188400576368876</v>
      </c>
      <c r="M119" s="38">
        <f t="shared" si="25"/>
        <v>0.21883199640152934</v>
      </c>
      <c r="N119" s="38">
        <f t="shared" si="25"/>
        <v>0.21453758615162685</v>
      </c>
      <c r="O119" s="38">
        <f t="shared" si="25"/>
        <v>0.21661631419939578</v>
      </c>
      <c r="P119" s="38">
        <f t="shared" si="25"/>
        <v>0.21774130519734272</v>
      </c>
      <c r="Q119" s="38">
        <f t="shared" si="25"/>
        <v>0.21623178862457815</v>
      </c>
      <c r="R119" s="38">
        <f t="shared" si="25"/>
        <v>0.21339551953513267</v>
      </c>
      <c r="S119" s="38">
        <f t="shared" si="25"/>
        <v>0.21585056499346605</v>
      </c>
      <c r="T119" s="38">
        <f t="shared" si="25"/>
        <v>0.2097511027095148</v>
      </c>
      <c r="U119" s="38">
        <f t="shared" si="25"/>
        <v>0.21119284143474634</v>
      </c>
      <c r="V119" s="38">
        <f t="shared" si="25"/>
        <v>0.21142730102267673</v>
      </c>
      <c r="W119" s="38">
        <f t="shared" si="25"/>
        <v>0.2044359464627151</v>
      </c>
      <c r="X119" s="38">
        <f t="shared" si="25"/>
        <v>0.20739677985015145</v>
      </c>
      <c r="Y119" s="38">
        <f t="shared" si="25"/>
        <v>0.20392351979529463</v>
      </c>
      <c r="Z119" s="38">
        <f t="shared" si="25"/>
        <v>0.19716494845360824</v>
      </c>
      <c r="AA119" s="38">
        <f t="shared" si="25"/>
        <v>0.20214947323764407</v>
      </c>
      <c r="AB119" s="38">
        <f t="shared" si="25"/>
        <v>0.19587268275620848</v>
      </c>
      <c r="AC119" s="38">
        <f t="shared" si="21"/>
        <v>0.19583113057926138</v>
      </c>
      <c r="AD119" s="38">
        <f t="shared" si="21"/>
        <v>0.19683005166876136</v>
      </c>
      <c r="AE119" s="38">
        <f t="shared" si="21"/>
        <v>0.19364632701421802</v>
      </c>
      <c r="AF119" s="38">
        <f t="shared" si="21"/>
        <v>0.1897342506407662</v>
      </c>
      <c r="AG119" s="38">
        <f t="shared" si="21"/>
        <v>0.19015739619685207</v>
      </c>
      <c r="AH119" s="38">
        <f t="shared" si="21"/>
        <v>0.1880436385080348</v>
      </c>
      <c r="AI119" s="38">
        <f t="shared" si="21"/>
        <v>0.18581232762491182</v>
      </c>
    </row>
    <row r="120" spans="2:35" ht="12.75">
      <c r="B120" s="33" t="s">
        <v>31</v>
      </c>
      <c r="C120" s="38">
        <f t="shared" si="19"/>
        <v>0.021761236526337196</v>
      </c>
      <c r="D120" s="38">
        <f aca="true" t="shared" si="26" ref="D120:AB120">D102/D$108</f>
        <v>0.028386050283860504</v>
      </c>
      <c r="E120" s="38">
        <f t="shared" si="26"/>
        <v>0.03276353276353276</v>
      </c>
      <c r="F120" s="38">
        <f t="shared" si="26"/>
        <v>0.03491669620701879</v>
      </c>
      <c r="G120" s="38">
        <f t="shared" si="26"/>
        <v>0.03581075193865993</v>
      </c>
      <c r="H120" s="38">
        <f t="shared" si="26"/>
        <v>0.03266090297790586</v>
      </c>
      <c r="I120" s="38">
        <f t="shared" si="26"/>
        <v>0.02966137299386606</v>
      </c>
      <c r="J120" s="38">
        <f t="shared" si="26"/>
        <v>0.031031681559707557</v>
      </c>
      <c r="K120" s="38">
        <f t="shared" si="26"/>
        <v>0.030358939953035895</v>
      </c>
      <c r="L120" s="38">
        <f t="shared" si="26"/>
        <v>0.03440201729106628</v>
      </c>
      <c r="M120" s="38">
        <f t="shared" si="26"/>
        <v>0.033585726066421774</v>
      </c>
      <c r="N120" s="38">
        <f t="shared" si="26"/>
        <v>0.03518192017951595</v>
      </c>
      <c r="O120" s="38">
        <f t="shared" si="26"/>
        <v>0.03678247734138973</v>
      </c>
      <c r="P120" s="38">
        <f t="shared" si="26"/>
        <v>0.04064087534193044</v>
      </c>
      <c r="Q120" s="38">
        <f t="shared" si="26"/>
        <v>0.04123796197217878</v>
      </c>
      <c r="R120" s="38">
        <f t="shared" si="26"/>
        <v>0.04052297576267299</v>
      </c>
      <c r="S120" s="38">
        <f t="shared" si="26"/>
        <v>0.04197094319317396</v>
      </c>
      <c r="T120" s="38">
        <f t="shared" si="26"/>
        <v>0.04032766225582861</v>
      </c>
      <c r="U120" s="38">
        <f t="shared" si="26"/>
        <v>0.04284522635929324</v>
      </c>
      <c r="V120" s="38">
        <f t="shared" si="26"/>
        <v>0.04461242033496369</v>
      </c>
      <c r="W120" s="38">
        <f t="shared" si="26"/>
        <v>0.045277246653919696</v>
      </c>
      <c r="X120" s="38">
        <f t="shared" si="26"/>
        <v>0.052048461661087196</v>
      </c>
      <c r="Y120" s="38">
        <f t="shared" si="26"/>
        <v>0.060345440329803116</v>
      </c>
      <c r="Z120" s="38">
        <f t="shared" si="26"/>
        <v>0.06531894329896908</v>
      </c>
      <c r="AA120" s="38">
        <f t="shared" si="26"/>
        <v>0.07120130099695962</v>
      </c>
      <c r="AB120" s="38">
        <f t="shared" si="26"/>
        <v>0.08058761804826862</v>
      </c>
      <c r="AC120" s="38">
        <f t="shared" si="21"/>
        <v>0.08262215844724718</v>
      </c>
      <c r="AD120" s="38">
        <f t="shared" si="21"/>
        <v>0.08825583019131407</v>
      </c>
      <c r="AE120" s="38">
        <f t="shared" si="21"/>
        <v>0.0883441943127962</v>
      </c>
      <c r="AF120" s="38">
        <f t="shared" si="21"/>
        <v>0.09233778497234588</v>
      </c>
      <c r="AG120" s="38">
        <f t="shared" si="21"/>
        <v>0.09522113809557724</v>
      </c>
      <c r="AH120" s="38">
        <f t="shared" si="21"/>
        <v>0.096343800678166</v>
      </c>
      <c r="AI120" s="38">
        <f t="shared" si="21"/>
        <v>0.10114809826181771</v>
      </c>
    </row>
    <row r="121" spans="2:35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</v>
      </c>
      <c r="J121" s="38">
        <f t="shared" si="27"/>
        <v>0</v>
      </c>
      <c r="K121" s="38">
        <f t="shared" si="27"/>
        <v>0.002096611875209661</v>
      </c>
      <c r="L121" s="38">
        <f t="shared" si="27"/>
        <v>0.005763688760806916</v>
      </c>
      <c r="M121" s="38">
        <f t="shared" si="27"/>
        <v>0.011095284504085763</v>
      </c>
      <c r="N121" s="38">
        <f t="shared" si="27"/>
        <v>0.013944542394614522</v>
      </c>
      <c r="O121" s="38">
        <f t="shared" si="27"/>
        <v>0.018429003021148038</v>
      </c>
      <c r="P121" s="38">
        <f t="shared" si="27"/>
        <v>0.01922626025791325</v>
      </c>
      <c r="Q121" s="38">
        <f t="shared" si="27"/>
        <v>0.021400938348835295</v>
      </c>
      <c r="R121" s="38">
        <f t="shared" si="27"/>
        <v>0.02125544766419451</v>
      </c>
      <c r="S121" s="38">
        <f t="shared" si="27"/>
        <v>0.022907218079790913</v>
      </c>
      <c r="T121" s="38">
        <f t="shared" si="27"/>
        <v>0.025362318840579712</v>
      </c>
      <c r="U121" s="38">
        <f t="shared" si="27"/>
        <v>0.025934632592704936</v>
      </c>
      <c r="V121" s="38">
        <f t="shared" si="27"/>
        <v>0.026900844819919965</v>
      </c>
      <c r="W121" s="38">
        <f t="shared" si="27"/>
        <v>0.028910133843212237</v>
      </c>
      <c r="X121" s="38">
        <f t="shared" si="27"/>
        <v>0.02965088474414156</v>
      </c>
      <c r="Y121" s="38">
        <f t="shared" si="27"/>
        <v>0.03049257232212666</v>
      </c>
      <c r="Z121" s="38">
        <f t="shared" si="27"/>
        <v>0.031894329896907214</v>
      </c>
      <c r="AA121" s="38">
        <f t="shared" si="27"/>
        <v>0.03125220957364067</v>
      </c>
      <c r="AB121" s="38">
        <f t="shared" si="27"/>
        <v>0.032598810772997554</v>
      </c>
      <c r="AC121" s="38">
        <f t="shared" si="21"/>
        <v>0.03232384261007477</v>
      </c>
      <c r="AD121" s="38">
        <f t="shared" si="21"/>
        <v>0.03281664571987153</v>
      </c>
      <c r="AE121" s="38">
        <f t="shared" si="21"/>
        <v>0.03139810426540284</v>
      </c>
      <c r="AF121" s="38">
        <f t="shared" si="21"/>
        <v>0.031296371239714016</v>
      </c>
      <c r="AG121" s="38">
        <f t="shared" si="21"/>
        <v>0.031336799373264015</v>
      </c>
      <c r="AH121" s="38">
        <f t="shared" si="21"/>
        <v>0.03073861123396727</v>
      </c>
      <c r="AI121" s="38">
        <f t="shared" si="21"/>
        <v>0.03097941119876852</v>
      </c>
    </row>
    <row r="122" spans="2:35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</v>
      </c>
      <c r="V122" s="38">
        <f t="shared" si="28"/>
        <v>0</v>
      </c>
      <c r="W122" s="38">
        <f t="shared" si="28"/>
        <v>0.0006118546845124283</v>
      </c>
      <c r="X122" s="38">
        <f t="shared" si="28"/>
        <v>0.0032679738562091504</v>
      </c>
      <c r="Y122" s="38">
        <f t="shared" si="28"/>
        <v>0.007534295259080248</v>
      </c>
      <c r="Z122" s="38">
        <f t="shared" si="28"/>
        <v>0.009181701030927835</v>
      </c>
      <c r="AA122" s="38">
        <f t="shared" si="28"/>
        <v>0.01498974757830729</v>
      </c>
      <c r="AB122" s="38">
        <f t="shared" si="28"/>
        <v>0.015250087443161945</v>
      </c>
      <c r="AC122" s="38">
        <f t="shared" si="21"/>
        <v>0.016161921305037383</v>
      </c>
      <c r="AD122" s="38">
        <f t="shared" si="21"/>
        <v>0.017665130568356373</v>
      </c>
      <c r="AE122" s="38">
        <f t="shared" si="21"/>
        <v>0.019623815165876777</v>
      </c>
      <c r="AF122" s="38">
        <f t="shared" si="21"/>
        <v>0.018615944961554026</v>
      </c>
      <c r="AG122" s="38">
        <f t="shared" si="21"/>
        <v>0.02015525959689481</v>
      </c>
      <c r="AH122" s="38">
        <f t="shared" si="21"/>
        <v>0.022408963585434174</v>
      </c>
      <c r="AI122" s="38">
        <f t="shared" si="21"/>
        <v>0.022705406965557052</v>
      </c>
    </row>
    <row r="123" spans="2:35" ht="12.75">
      <c r="B123" s="33" t="s">
        <v>34</v>
      </c>
      <c r="C123" s="38">
        <f t="shared" si="19"/>
        <v>0.003965832824893227</v>
      </c>
      <c r="D123" s="38">
        <f aca="true" t="shared" si="29" ref="D123:AB123">D105/D$108</f>
        <v>0.0023519870235198703</v>
      </c>
      <c r="E123" s="38">
        <f t="shared" si="29"/>
        <v>0.003116096866096866</v>
      </c>
      <c r="F123" s="38">
        <f t="shared" si="29"/>
        <v>0.0027472527472527475</v>
      </c>
      <c r="G123" s="38">
        <f t="shared" si="29"/>
        <v>0.0025267927158665157</v>
      </c>
      <c r="H123" s="38">
        <f t="shared" si="29"/>
        <v>0.002357872674875557</v>
      </c>
      <c r="I123" s="38">
        <f t="shared" si="29"/>
        <v>0.0021006638097638853</v>
      </c>
      <c r="J123" s="38">
        <f t="shared" si="29"/>
        <v>0.0026807473598700242</v>
      </c>
      <c r="K123" s="38">
        <f t="shared" si="29"/>
        <v>0.0020127474002012745</v>
      </c>
      <c r="L123" s="38">
        <f t="shared" si="29"/>
        <v>0.0023414985590778097</v>
      </c>
      <c r="M123" s="38">
        <f t="shared" si="29"/>
        <v>0.002698852987480321</v>
      </c>
      <c r="N123" s="38">
        <f t="shared" si="29"/>
        <v>0.002404231447347331</v>
      </c>
      <c r="O123" s="38">
        <f t="shared" si="29"/>
        <v>0.0021148036253776435</v>
      </c>
      <c r="P123" s="38">
        <f t="shared" si="29"/>
        <v>0.0022665103556076594</v>
      </c>
      <c r="Q123" s="38">
        <f t="shared" si="29"/>
        <v>0.0025516503415919005</v>
      </c>
      <c r="R123" s="38">
        <f t="shared" si="29"/>
        <v>0.0026760455692331217</v>
      </c>
      <c r="S123" s="38">
        <f t="shared" si="29"/>
        <v>0.0019986163425320933</v>
      </c>
      <c r="T123" s="38">
        <f t="shared" si="29"/>
        <v>0.0029143037177063644</v>
      </c>
      <c r="U123" s="38">
        <f t="shared" si="29"/>
        <v>0.0023508000303329034</v>
      </c>
      <c r="V123" s="38">
        <f t="shared" si="29"/>
        <v>0.0025196383577886466</v>
      </c>
      <c r="W123" s="38">
        <f t="shared" si="29"/>
        <v>0.002829827915869981</v>
      </c>
      <c r="X123" s="38">
        <f t="shared" si="29"/>
        <v>0.0020723736649131195</v>
      </c>
      <c r="Y123" s="38">
        <f t="shared" si="29"/>
        <v>0.0025588172578008385</v>
      </c>
      <c r="Z123" s="38">
        <f t="shared" si="29"/>
        <v>0.002416237113402062</v>
      </c>
      <c r="AA123" s="38">
        <f t="shared" si="29"/>
        <v>0.002050484338542035</v>
      </c>
      <c r="AB123" s="38">
        <f t="shared" si="29"/>
        <v>0.002658272123119972</v>
      </c>
      <c r="AC123" s="38">
        <f t="shared" si="21"/>
        <v>0.002114643909070312</v>
      </c>
      <c r="AD123" s="38">
        <f t="shared" si="21"/>
        <v>0.0024437927663734115</v>
      </c>
      <c r="AE123" s="38">
        <f t="shared" si="21"/>
        <v>0.002221563981042654</v>
      </c>
      <c r="AF123" s="38">
        <f t="shared" si="21"/>
        <v>0.0024281667341157424</v>
      </c>
      <c r="AG123" s="38">
        <f t="shared" si="21"/>
        <v>0.002635139947297201</v>
      </c>
      <c r="AH123" s="38">
        <f t="shared" si="21"/>
        <v>0.0024325519681556835</v>
      </c>
      <c r="AI123" s="38">
        <f t="shared" si="21"/>
        <v>0.002565582707972548</v>
      </c>
    </row>
    <row r="124" spans="2:35" ht="12.75">
      <c r="B124" s="33" t="s">
        <v>35</v>
      </c>
      <c r="C124" s="38">
        <f t="shared" si="19"/>
        <v>0.2435428106569046</v>
      </c>
      <c r="D124" s="38">
        <f aca="true" t="shared" si="30" ref="D124:AB124">D106/D$108</f>
        <v>0.2383617193836172</v>
      </c>
      <c r="E124" s="38">
        <f t="shared" si="30"/>
        <v>0.245014245014245</v>
      </c>
      <c r="F124" s="38">
        <f t="shared" si="30"/>
        <v>0.23449131513647642</v>
      </c>
      <c r="G124" s="38">
        <f t="shared" si="30"/>
        <v>0.23595016119194911</v>
      </c>
      <c r="H124" s="38">
        <f t="shared" si="30"/>
        <v>0.23500130992926382</v>
      </c>
      <c r="I124" s="38">
        <f t="shared" si="30"/>
        <v>0.23552642635072682</v>
      </c>
      <c r="J124" s="38">
        <f t="shared" si="30"/>
        <v>0.23623070674248578</v>
      </c>
      <c r="K124" s="38">
        <f t="shared" si="30"/>
        <v>0.23121435759812142</v>
      </c>
      <c r="L124" s="38">
        <f t="shared" si="30"/>
        <v>0.23432997118155618</v>
      </c>
      <c r="M124" s="38">
        <f t="shared" si="30"/>
        <v>0.22580403328585352</v>
      </c>
      <c r="N124" s="38">
        <f t="shared" si="30"/>
        <v>0.2277608591120372</v>
      </c>
      <c r="O124" s="38">
        <f t="shared" si="30"/>
        <v>0.2226586102719033</v>
      </c>
      <c r="P124" s="38">
        <f t="shared" si="30"/>
        <v>0.2246189917936694</v>
      </c>
      <c r="Q124" s="38">
        <f t="shared" si="30"/>
        <v>0.22289900403325377</v>
      </c>
      <c r="R124" s="38">
        <f t="shared" si="30"/>
        <v>0.22142365624283203</v>
      </c>
      <c r="S124" s="38">
        <f t="shared" si="30"/>
        <v>0.21861787992927972</v>
      </c>
      <c r="T124" s="38">
        <f t="shared" si="30"/>
        <v>0.21936042848141146</v>
      </c>
      <c r="U124" s="38">
        <f t="shared" si="30"/>
        <v>0.22029271251990598</v>
      </c>
      <c r="V124" s="38">
        <f t="shared" si="30"/>
        <v>0.21846746702238032</v>
      </c>
      <c r="W124" s="38">
        <f t="shared" si="30"/>
        <v>0.2182791586998088</v>
      </c>
      <c r="X124" s="38">
        <f t="shared" si="30"/>
        <v>0.2127371273712737</v>
      </c>
      <c r="Y124" s="38">
        <f t="shared" si="30"/>
        <v>0.21323477148340322</v>
      </c>
      <c r="Z124" s="38">
        <f t="shared" si="30"/>
        <v>0.20884342783505155</v>
      </c>
      <c r="AA124" s="38">
        <f t="shared" si="30"/>
        <v>0.20236159230714842</v>
      </c>
      <c r="AB124" s="38">
        <f t="shared" si="30"/>
        <v>0.20713536201469046</v>
      </c>
      <c r="AC124" s="38">
        <f t="shared" si="21"/>
        <v>0.20799033305641568</v>
      </c>
      <c r="AD124" s="38">
        <f t="shared" si="21"/>
        <v>0.20444072056975282</v>
      </c>
      <c r="AE124" s="38">
        <f t="shared" si="21"/>
        <v>0.1997186018957346</v>
      </c>
      <c r="AF124" s="38">
        <f t="shared" si="21"/>
        <v>0.2038985565897747</v>
      </c>
      <c r="AG124" s="38">
        <f t="shared" si="21"/>
        <v>0.1989886760202265</v>
      </c>
      <c r="AH124" s="38">
        <f t="shared" si="21"/>
        <v>0.20234409553295002</v>
      </c>
      <c r="AI124" s="38">
        <f t="shared" si="21"/>
        <v>0.19960233468026425</v>
      </c>
    </row>
    <row r="125" spans="2:35" ht="13.5" thickBot="1">
      <c r="B125" s="35" t="s">
        <v>109</v>
      </c>
      <c r="C125" s="39">
        <f t="shared" si="19"/>
        <v>0</v>
      </c>
      <c r="D125" s="39">
        <f aca="true" t="shared" si="31" ref="D125:AH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</v>
      </c>
      <c r="AH125" s="39">
        <f t="shared" si="31"/>
        <v>0</v>
      </c>
      <c r="AI125" s="39">
        <f>AI107/AI$108</f>
        <v>0.00012827913539862742</v>
      </c>
    </row>
    <row r="126" spans="2:35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H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  <c r="AH126" s="51">
        <f t="shared" si="33"/>
        <v>1</v>
      </c>
      <c r="AI126" s="51">
        <f>AI108/AI$108</f>
        <v>1</v>
      </c>
    </row>
    <row r="127" spans="2:35" ht="13.5" thickBot="1">
      <c r="B127" s="52" t="s">
        <v>37</v>
      </c>
      <c r="C127" s="53">
        <f t="shared" si="19"/>
        <v>0.44610534878991254</v>
      </c>
      <c r="D127" s="53">
        <f aca="true" t="shared" si="34" ref="D127:AB127">D109/D$108</f>
        <v>0.4502027575020276</v>
      </c>
      <c r="E127" s="53">
        <f t="shared" si="34"/>
        <v>0.44355413105413105</v>
      </c>
      <c r="F127" s="53">
        <f t="shared" si="34"/>
        <v>0.45152428216944346</v>
      </c>
      <c r="G127" s="53">
        <f t="shared" si="34"/>
        <v>0.44567395660886994</v>
      </c>
      <c r="H127" s="53">
        <f t="shared" si="34"/>
        <v>0.44904375163741156</v>
      </c>
      <c r="I127" s="53">
        <f t="shared" si="34"/>
        <v>0.4459289135366776</v>
      </c>
      <c r="J127" s="53">
        <f t="shared" si="34"/>
        <v>0.44281072298943946</v>
      </c>
      <c r="K127" s="53">
        <f t="shared" si="34"/>
        <v>0.4496813149949681</v>
      </c>
      <c r="L127" s="53">
        <f t="shared" si="34"/>
        <v>0.43686959654178675</v>
      </c>
      <c r="M127" s="53">
        <f t="shared" si="34"/>
        <v>0.438488642327011</v>
      </c>
      <c r="N127" s="53">
        <f t="shared" si="34"/>
        <v>0.4410963295399904</v>
      </c>
      <c r="O127" s="53">
        <f t="shared" si="34"/>
        <v>0.43285498489425983</v>
      </c>
      <c r="P127" s="53">
        <f t="shared" si="34"/>
        <v>0.4289957014458773</v>
      </c>
      <c r="Q127" s="53">
        <f t="shared" si="34"/>
        <v>0.4308996625236645</v>
      </c>
      <c r="R127" s="53">
        <f t="shared" si="34"/>
        <v>0.4351250095573056</v>
      </c>
      <c r="S127" s="53">
        <f t="shared" si="34"/>
        <v>0.43608271196863707</v>
      </c>
      <c r="T127" s="53">
        <f t="shared" si="34"/>
        <v>0.43832703213610585</v>
      </c>
      <c r="U127" s="53">
        <f t="shared" si="34"/>
        <v>0.4340638507621142</v>
      </c>
      <c r="V127" s="53">
        <f t="shared" si="34"/>
        <v>0.43515636579220396</v>
      </c>
      <c r="W127" s="53">
        <f t="shared" si="34"/>
        <v>0.4364053537284895</v>
      </c>
      <c r="X127" s="53">
        <f t="shared" si="34"/>
        <v>0.4293001753546947</v>
      </c>
      <c r="Y127" s="53">
        <f t="shared" si="34"/>
        <v>0.4229156301087497</v>
      </c>
      <c r="Z127" s="53">
        <f t="shared" si="34"/>
        <v>0.4254188144329897</v>
      </c>
      <c r="AA127" s="53">
        <f t="shared" si="34"/>
        <v>0.4169553842890476</v>
      </c>
      <c r="AB127" s="53">
        <f t="shared" si="34"/>
        <v>0.4100034977264778</v>
      </c>
      <c r="AC127" s="53">
        <f t="shared" si="33"/>
        <v>0.40721999848954005</v>
      </c>
      <c r="AD127" s="53">
        <f t="shared" si="33"/>
        <v>0.4032956291020807</v>
      </c>
      <c r="AE127" s="53">
        <f t="shared" si="33"/>
        <v>0.4121001184834123</v>
      </c>
      <c r="AF127" s="53">
        <f t="shared" si="33"/>
        <v>0.40928099285039793</v>
      </c>
      <c r="AG127" s="53">
        <f t="shared" si="33"/>
        <v>0.41101061177978776</v>
      </c>
      <c r="AH127" s="53">
        <f t="shared" si="33"/>
        <v>0.4071207430340557</v>
      </c>
      <c r="AI127" s="53">
        <f>AI109/AI$108</f>
        <v>0.4085690462446283</v>
      </c>
    </row>
    <row r="128" ht="13.5" thickTop="1"/>
    <row r="132" spans="2:35" ht="13.5" thickBot="1">
      <c r="B132" s="71" t="s">
        <v>74</v>
      </c>
      <c r="C132" s="75" t="s">
        <v>55</v>
      </c>
      <c r="D132" s="75" t="s">
        <v>56</v>
      </c>
      <c r="E132" s="75" t="s">
        <v>57</v>
      </c>
      <c r="F132" s="75" t="s">
        <v>58</v>
      </c>
      <c r="G132" s="75" t="s">
        <v>59</v>
      </c>
      <c r="H132" s="75" t="s">
        <v>60</v>
      </c>
      <c r="I132" s="75" t="s">
        <v>61</v>
      </c>
      <c r="J132" s="75" t="s">
        <v>67</v>
      </c>
      <c r="K132" s="75" t="s">
        <v>63</v>
      </c>
      <c r="L132" s="75" t="s">
        <v>64</v>
      </c>
      <c r="M132" s="75" t="s">
        <v>65</v>
      </c>
      <c r="N132" s="75" t="s">
        <v>38</v>
      </c>
      <c r="O132" s="75" t="s">
        <v>39</v>
      </c>
      <c r="P132" s="75" t="s">
        <v>40</v>
      </c>
      <c r="Q132" s="75" t="s">
        <v>41</v>
      </c>
      <c r="R132" s="75" t="s">
        <v>42</v>
      </c>
      <c r="S132" s="75" t="s">
        <v>43</v>
      </c>
      <c r="T132" s="75" t="s">
        <v>44</v>
      </c>
      <c r="U132" s="75" t="s">
        <v>45</v>
      </c>
      <c r="V132" s="75" t="s">
        <v>46</v>
      </c>
      <c r="W132" s="75" t="s">
        <v>47</v>
      </c>
      <c r="X132" s="75" t="s">
        <v>66</v>
      </c>
      <c r="Y132" s="75" t="s">
        <v>49</v>
      </c>
      <c r="Z132" s="75" t="s">
        <v>50</v>
      </c>
      <c r="AA132" s="75" t="s">
        <v>51</v>
      </c>
      <c r="AB132" s="75" t="s">
        <v>52</v>
      </c>
      <c r="AC132" s="75" t="s">
        <v>69</v>
      </c>
      <c r="AD132" s="75" t="s">
        <v>70</v>
      </c>
      <c r="AE132" s="85">
        <v>38961</v>
      </c>
      <c r="AF132" s="85">
        <v>38991</v>
      </c>
      <c r="AG132" s="85">
        <v>39022</v>
      </c>
      <c r="AH132" s="85">
        <v>39052</v>
      </c>
      <c r="AI132" s="85">
        <v>39083</v>
      </c>
    </row>
    <row r="133" spans="2:35" ht="13.5" thickTop="1">
      <c r="B133" s="74" t="s">
        <v>1</v>
      </c>
      <c r="C133" s="76">
        <f aca="true" t="shared" si="35" ref="C133:C161">C66/C$108</f>
        <v>0</v>
      </c>
      <c r="D133" s="76">
        <f aca="true" t="shared" si="36" ref="D133:AI133">D66/D$108</f>
        <v>0</v>
      </c>
      <c r="E133" s="76">
        <f t="shared" si="36"/>
        <v>0</v>
      </c>
      <c r="F133" s="76">
        <f t="shared" si="36"/>
        <v>0</v>
      </c>
      <c r="G133" s="76">
        <f t="shared" si="36"/>
        <v>0</v>
      </c>
      <c r="H133" s="76">
        <f t="shared" si="36"/>
        <v>0</v>
      </c>
      <c r="I133" s="76">
        <f t="shared" si="36"/>
        <v>0</v>
      </c>
      <c r="J133" s="76">
        <f t="shared" si="36"/>
        <v>0</v>
      </c>
      <c r="K133" s="76">
        <f t="shared" si="36"/>
        <v>0</v>
      </c>
      <c r="L133" s="76">
        <f t="shared" si="36"/>
        <v>0</v>
      </c>
      <c r="M133" s="76">
        <f t="shared" si="36"/>
        <v>0</v>
      </c>
      <c r="N133" s="76">
        <f t="shared" si="36"/>
        <v>0</v>
      </c>
      <c r="O133" s="76">
        <f t="shared" si="36"/>
        <v>0</v>
      </c>
      <c r="P133" s="76">
        <f t="shared" si="36"/>
        <v>0</v>
      </c>
      <c r="Q133" s="76">
        <f t="shared" si="36"/>
        <v>0</v>
      </c>
      <c r="R133" s="76">
        <f t="shared" si="36"/>
        <v>0</v>
      </c>
      <c r="S133" s="76">
        <f t="shared" si="36"/>
        <v>0</v>
      </c>
      <c r="T133" s="76">
        <f t="shared" si="36"/>
        <v>0</v>
      </c>
      <c r="U133" s="76">
        <f t="shared" si="36"/>
        <v>0</v>
      </c>
      <c r="V133" s="76">
        <f t="shared" si="36"/>
        <v>0.00044464206313917296</v>
      </c>
      <c r="W133" s="76">
        <f t="shared" si="36"/>
        <v>0.0003824091778202677</v>
      </c>
      <c r="X133" s="76">
        <f t="shared" si="36"/>
        <v>0.0010361868324565598</v>
      </c>
      <c r="Y133" s="76">
        <f t="shared" si="36"/>
        <v>0.0013504868860615537</v>
      </c>
      <c r="Z133" s="76">
        <f t="shared" si="36"/>
        <v>0.001208118556701031</v>
      </c>
      <c r="AA133" s="76">
        <f t="shared" si="36"/>
        <v>0.001909071625539136</v>
      </c>
      <c r="AB133" s="76">
        <f t="shared" si="36"/>
        <v>0.002098635886673662</v>
      </c>
      <c r="AC133" s="76">
        <f t="shared" si="36"/>
        <v>0.0024922588928328678</v>
      </c>
      <c r="AD133" s="76">
        <f t="shared" si="36"/>
        <v>0.0021645021645021645</v>
      </c>
      <c r="AE133" s="76">
        <f t="shared" si="36"/>
        <v>0.002665876777251185</v>
      </c>
      <c r="AF133" s="76">
        <f t="shared" si="36"/>
        <v>0.002360717658168083</v>
      </c>
      <c r="AG133" s="76">
        <f t="shared" si="36"/>
        <v>0.003204899935902001</v>
      </c>
      <c r="AH133" s="76">
        <f t="shared" si="36"/>
        <v>0.0012531328320802004</v>
      </c>
      <c r="AI133" s="76">
        <f t="shared" si="36"/>
        <v>0.0029504201141684304</v>
      </c>
    </row>
    <row r="134" spans="2:35" ht="12.75">
      <c r="B134" s="73" t="s">
        <v>2</v>
      </c>
      <c r="C134" s="76">
        <f t="shared" si="35"/>
        <v>0.12233068944478341</v>
      </c>
      <c r="D134" s="76">
        <f aca="true" t="shared" si="37" ref="D134:AI134">D67/D$108</f>
        <v>0.1281427412814274</v>
      </c>
      <c r="E134" s="76">
        <f t="shared" si="37"/>
        <v>0.12357549857549857</v>
      </c>
      <c r="F134" s="76">
        <f t="shared" si="37"/>
        <v>0.1273484579936193</v>
      </c>
      <c r="G134" s="76">
        <f t="shared" si="37"/>
        <v>0.12067613487845255</v>
      </c>
      <c r="H134" s="76">
        <f t="shared" si="37"/>
        <v>0.12217273600558903</v>
      </c>
      <c r="I134" s="76">
        <f t="shared" si="37"/>
        <v>0.12133434165196202</v>
      </c>
      <c r="J134" s="76">
        <f t="shared" si="37"/>
        <v>0.11957757920389928</v>
      </c>
      <c r="K134" s="76">
        <f t="shared" si="37"/>
        <v>0.11749412948674941</v>
      </c>
      <c r="L134" s="76">
        <f t="shared" si="37"/>
        <v>0.11257204610951009</v>
      </c>
      <c r="M134" s="76">
        <f t="shared" si="37"/>
        <v>0.11417647499812579</v>
      </c>
      <c r="N134" s="76">
        <f t="shared" si="37"/>
        <v>0.11235774963936529</v>
      </c>
      <c r="O134" s="76">
        <f t="shared" si="37"/>
        <v>0.11261329305135952</v>
      </c>
      <c r="P134" s="76">
        <f t="shared" si="37"/>
        <v>0.11121531848378273</v>
      </c>
      <c r="Q134" s="76">
        <f t="shared" si="37"/>
        <v>0.11449502016626883</v>
      </c>
      <c r="R134" s="76">
        <f t="shared" si="37"/>
        <v>0.11889288171878584</v>
      </c>
      <c r="S134" s="76">
        <f t="shared" si="37"/>
        <v>0.12114689830117611</v>
      </c>
      <c r="T134" s="76">
        <f t="shared" si="37"/>
        <v>0.12736294896030245</v>
      </c>
      <c r="U134" s="76">
        <f t="shared" si="37"/>
        <v>0.12337908546295594</v>
      </c>
      <c r="V134" s="76">
        <f t="shared" si="37"/>
        <v>0.12613013191047873</v>
      </c>
      <c r="W134" s="76">
        <f t="shared" si="37"/>
        <v>0.12749521988527723</v>
      </c>
      <c r="X134" s="76">
        <f t="shared" si="37"/>
        <v>0.12482065997130559</v>
      </c>
      <c r="Y134" s="76">
        <f t="shared" si="37"/>
        <v>0.12630606297533584</v>
      </c>
      <c r="Z134" s="76">
        <f t="shared" si="37"/>
        <v>0.12677190721649484</v>
      </c>
      <c r="AA134" s="76">
        <f t="shared" si="37"/>
        <v>0.12585731457258006</v>
      </c>
      <c r="AB134" s="76">
        <f t="shared" si="37"/>
        <v>0.12137110877929345</v>
      </c>
      <c r="AC134" s="76">
        <f t="shared" si="37"/>
        <v>0.12582131258968357</v>
      </c>
      <c r="AD134" s="76">
        <f t="shared" si="37"/>
        <v>0.12037424940650747</v>
      </c>
      <c r="AE134" s="76">
        <f t="shared" si="37"/>
        <v>0.12655509478672985</v>
      </c>
      <c r="AF134" s="76">
        <f t="shared" si="37"/>
        <v>0.12666936462970457</v>
      </c>
      <c r="AG134" s="76">
        <f t="shared" si="37"/>
        <v>0.12598817748023644</v>
      </c>
      <c r="AH134" s="76">
        <f t="shared" si="37"/>
        <v>0.12833554474421346</v>
      </c>
      <c r="AI134" s="76">
        <f t="shared" si="37"/>
        <v>0.1277660188570329</v>
      </c>
    </row>
    <row r="135" spans="2:35" ht="12.75">
      <c r="B135" s="73" t="s">
        <v>3</v>
      </c>
      <c r="C135" s="76">
        <f t="shared" si="35"/>
        <v>0.019524100061012812</v>
      </c>
      <c r="D135" s="76">
        <f aca="true" t="shared" si="38" ref="D135:AI135">D68/D$108</f>
        <v>0.020519059205190593</v>
      </c>
      <c r="E135" s="76">
        <f t="shared" si="38"/>
        <v>0.018963675213675212</v>
      </c>
      <c r="F135" s="76">
        <f t="shared" si="38"/>
        <v>0.019585253456221197</v>
      </c>
      <c r="G135" s="76">
        <f t="shared" si="38"/>
        <v>0.01986581859370916</v>
      </c>
      <c r="H135" s="76">
        <f t="shared" si="38"/>
        <v>0.0180770238407126</v>
      </c>
      <c r="I135" s="76">
        <f t="shared" si="38"/>
        <v>0.020082346021342744</v>
      </c>
      <c r="J135" s="76">
        <f t="shared" si="38"/>
        <v>0.021202274573517466</v>
      </c>
      <c r="K135" s="76">
        <f t="shared" si="38"/>
        <v>0.021049983227105</v>
      </c>
      <c r="L135" s="76">
        <f t="shared" si="38"/>
        <v>0.021523775216138328</v>
      </c>
      <c r="M135" s="76">
        <f t="shared" si="38"/>
        <v>0.019791588574855686</v>
      </c>
      <c r="N135" s="76">
        <f t="shared" si="38"/>
        <v>0.020516108350697226</v>
      </c>
      <c r="O135" s="76">
        <f t="shared" si="38"/>
        <v>0.02069486404833837</v>
      </c>
      <c r="P135" s="76">
        <f t="shared" si="38"/>
        <v>0.022274325908558032</v>
      </c>
      <c r="Q135" s="76">
        <f t="shared" si="38"/>
        <v>0.021977117458227016</v>
      </c>
      <c r="R135" s="76">
        <f t="shared" si="38"/>
        <v>0.022478782781558224</v>
      </c>
      <c r="S135" s="76">
        <f t="shared" si="38"/>
        <v>0.02213851948650934</v>
      </c>
      <c r="T135" s="76">
        <f t="shared" si="38"/>
        <v>0.023314429741650915</v>
      </c>
      <c r="U135" s="76">
        <f t="shared" si="38"/>
        <v>0.024342155152802</v>
      </c>
      <c r="V135" s="76">
        <f t="shared" si="38"/>
        <v>0.02564102564102564</v>
      </c>
      <c r="W135" s="76">
        <f t="shared" si="38"/>
        <v>0.024550669216061187</v>
      </c>
      <c r="X135" s="76">
        <f t="shared" si="38"/>
        <v>0.02399171050534035</v>
      </c>
      <c r="Y135" s="76">
        <f t="shared" si="38"/>
        <v>0.023597981377496625</v>
      </c>
      <c r="Z135" s="76">
        <f t="shared" si="38"/>
        <v>0.023679123711340205</v>
      </c>
      <c r="AA135" s="76">
        <f t="shared" si="38"/>
        <v>0.02474722477550732</v>
      </c>
      <c r="AB135" s="76">
        <f t="shared" si="38"/>
        <v>0.02322490381252186</v>
      </c>
      <c r="AC135" s="76">
        <f t="shared" si="38"/>
        <v>0.022807945019258365</v>
      </c>
      <c r="AD135" s="76">
        <f t="shared" si="38"/>
        <v>0.022901829353442257</v>
      </c>
      <c r="AE135" s="76">
        <f t="shared" si="38"/>
        <v>0.02214158767772512</v>
      </c>
      <c r="AF135" s="76">
        <f t="shared" si="38"/>
        <v>0.02353972750573317</v>
      </c>
      <c r="AG135" s="76">
        <f t="shared" si="38"/>
        <v>0.023004059539918808</v>
      </c>
      <c r="AH135" s="76">
        <f t="shared" si="38"/>
        <v>0.02226153619342474</v>
      </c>
      <c r="AI135" s="76">
        <f t="shared" si="38"/>
        <v>0.02090949906997627</v>
      </c>
    </row>
    <row r="136" spans="2:35" ht="12.75">
      <c r="B136" s="73" t="s">
        <v>75</v>
      </c>
      <c r="C136" s="76">
        <f t="shared" si="35"/>
        <v>0</v>
      </c>
      <c r="D136" s="76">
        <f aca="true" t="shared" si="39" ref="D136:AI136">D69/D$108</f>
        <v>0</v>
      </c>
      <c r="E136" s="76">
        <f t="shared" si="39"/>
        <v>0</v>
      </c>
      <c r="F136" s="76">
        <f t="shared" si="39"/>
        <v>0</v>
      </c>
      <c r="G136" s="76">
        <f t="shared" si="39"/>
        <v>0</v>
      </c>
      <c r="H136" s="76">
        <f t="shared" si="39"/>
        <v>0</v>
      </c>
      <c r="I136" s="76">
        <f t="shared" si="39"/>
        <v>0</v>
      </c>
      <c r="J136" s="76">
        <f t="shared" si="39"/>
        <v>0</v>
      </c>
      <c r="K136" s="76">
        <f t="shared" si="39"/>
        <v>0</v>
      </c>
      <c r="L136" s="76">
        <f t="shared" si="39"/>
        <v>0</v>
      </c>
      <c r="M136" s="76">
        <f t="shared" si="39"/>
        <v>0</v>
      </c>
      <c r="N136" s="76">
        <f t="shared" si="39"/>
        <v>0</v>
      </c>
      <c r="O136" s="76">
        <f t="shared" si="39"/>
        <v>0</v>
      </c>
      <c r="P136" s="76">
        <f t="shared" si="39"/>
        <v>0</v>
      </c>
      <c r="Q136" s="76">
        <f t="shared" si="39"/>
        <v>0</v>
      </c>
      <c r="R136" s="76">
        <f t="shared" si="39"/>
        <v>0</v>
      </c>
      <c r="S136" s="76">
        <f t="shared" si="39"/>
        <v>0</v>
      </c>
      <c r="T136" s="76">
        <f t="shared" si="39"/>
        <v>0</v>
      </c>
      <c r="U136" s="76">
        <f t="shared" si="39"/>
        <v>0</v>
      </c>
      <c r="V136" s="76">
        <f t="shared" si="39"/>
        <v>0</v>
      </c>
      <c r="W136" s="76">
        <f t="shared" si="39"/>
        <v>0</v>
      </c>
      <c r="X136" s="76">
        <f t="shared" si="39"/>
        <v>0</v>
      </c>
      <c r="Y136" s="76">
        <f t="shared" si="39"/>
        <v>0</v>
      </c>
      <c r="Z136" s="76">
        <f t="shared" si="39"/>
        <v>0</v>
      </c>
      <c r="AA136" s="76">
        <f t="shared" si="39"/>
        <v>0</v>
      </c>
      <c r="AB136" s="76">
        <f t="shared" si="39"/>
        <v>0</v>
      </c>
      <c r="AC136" s="76">
        <f t="shared" si="39"/>
        <v>0</v>
      </c>
      <c r="AD136" s="76">
        <f t="shared" si="39"/>
        <v>0</v>
      </c>
      <c r="AE136" s="76">
        <f t="shared" si="39"/>
        <v>0.0005183649289099526</v>
      </c>
      <c r="AF136" s="76">
        <f t="shared" si="39"/>
        <v>0.0004046944556859571</v>
      </c>
      <c r="AG136" s="76">
        <f t="shared" si="39"/>
        <v>0.0014956199700876006</v>
      </c>
      <c r="AH136" s="76">
        <f t="shared" si="39"/>
        <v>0.0012531328320802004</v>
      </c>
      <c r="AI136" s="76">
        <f t="shared" si="39"/>
        <v>0.0019241870309794113</v>
      </c>
    </row>
    <row r="137" spans="2:35" ht="12.75">
      <c r="B137" s="73" t="s">
        <v>4</v>
      </c>
      <c r="C137" s="76">
        <f t="shared" si="35"/>
        <v>0.22412039861704292</v>
      </c>
      <c r="D137" s="76">
        <f aca="true" t="shared" si="40" ref="D137:AI137">D70/D$108</f>
        <v>0.22303325223033252</v>
      </c>
      <c r="E137" s="76">
        <f t="shared" si="40"/>
        <v>0.22159900284900286</v>
      </c>
      <c r="F137" s="76">
        <f t="shared" si="40"/>
        <v>0.22323644097837647</v>
      </c>
      <c r="G137" s="76">
        <f t="shared" si="40"/>
        <v>0.22331619761261653</v>
      </c>
      <c r="H137" s="76">
        <f t="shared" si="40"/>
        <v>0.22801502052222514</v>
      </c>
      <c r="I137" s="76">
        <f t="shared" si="40"/>
        <v>0.22325854970170575</v>
      </c>
      <c r="J137" s="76">
        <f t="shared" si="40"/>
        <v>0.21925264012997564</v>
      </c>
      <c r="K137" s="76">
        <f t="shared" si="40"/>
        <v>0.22735659174773565</v>
      </c>
      <c r="L137" s="76">
        <f t="shared" si="40"/>
        <v>0.21920028818443804</v>
      </c>
      <c r="M137" s="76">
        <f t="shared" si="40"/>
        <v>0.22183072194317416</v>
      </c>
      <c r="N137" s="76">
        <f t="shared" si="40"/>
        <v>0.22295239621734253</v>
      </c>
      <c r="O137" s="76">
        <f t="shared" si="40"/>
        <v>0.21654078549848943</v>
      </c>
      <c r="P137" s="76">
        <f t="shared" si="40"/>
        <v>0.21117624071903088</v>
      </c>
      <c r="Q137" s="76">
        <f t="shared" si="40"/>
        <v>0.21211622355749443</v>
      </c>
      <c r="R137" s="76">
        <f t="shared" si="40"/>
        <v>0.20857863751051303</v>
      </c>
      <c r="S137" s="76">
        <f t="shared" si="40"/>
        <v>0.2090860173725882</v>
      </c>
      <c r="T137" s="76">
        <f t="shared" si="40"/>
        <v>0.20376496534341526</v>
      </c>
      <c r="U137" s="76">
        <f t="shared" si="40"/>
        <v>0.20429210586183363</v>
      </c>
      <c r="V137" s="76">
        <f t="shared" si="40"/>
        <v>0.2019416036757077</v>
      </c>
      <c r="W137" s="76">
        <f t="shared" si="40"/>
        <v>0.20114722753346082</v>
      </c>
      <c r="X137" s="76">
        <f t="shared" si="40"/>
        <v>0.19998405866411606</v>
      </c>
      <c r="Y137" s="76">
        <f t="shared" si="40"/>
        <v>0.19297746819247993</v>
      </c>
      <c r="Z137" s="76">
        <f t="shared" si="40"/>
        <v>0.19329896907216496</v>
      </c>
      <c r="AA137" s="76">
        <f t="shared" si="40"/>
        <v>0.18800820193735418</v>
      </c>
      <c r="AB137" s="76">
        <f t="shared" si="40"/>
        <v>0.1845400489681707</v>
      </c>
      <c r="AC137" s="76">
        <f t="shared" si="40"/>
        <v>0.18133071520277924</v>
      </c>
      <c r="AD137" s="76">
        <f t="shared" si="40"/>
        <v>0.1793045664013406</v>
      </c>
      <c r="AE137" s="76">
        <f t="shared" si="40"/>
        <v>0.18261255924170616</v>
      </c>
      <c r="AF137" s="76">
        <f t="shared" si="40"/>
        <v>0.1789423984891407</v>
      </c>
      <c r="AG137" s="76">
        <f t="shared" si="40"/>
        <v>0.17983049640339008</v>
      </c>
      <c r="AH137" s="76">
        <f t="shared" si="40"/>
        <v>0.17624944714727997</v>
      </c>
      <c r="AI137" s="76">
        <f t="shared" si="40"/>
        <v>0.17420306587133602</v>
      </c>
    </row>
    <row r="138" spans="2:35" ht="12.75">
      <c r="B138" s="73" t="s">
        <v>5</v>
      </c>
      <c r="C138" s="76">
        <f t="shared" si="35"/>
        <v>0.08013016066707342</v>
      </c>
      <c r="D138" s="76">
        <f aca="true" t="shared" si="41" ref="D138:AI138">D71/D$108</f>
        <v>0.07850770478507704</v>
      </c>
      <c r="E138" s="76">
        <f t="shared" si="41"/>
        <v>0.07941595441595442</v>
      </c>
      <c r="F138" s="76">
        <f t="shared" si="41"/>
        <v>0.08135412974122652</v>
      </c>
      <c r="G138" s="76">
        <f t="shared" si="41"/>
        <v>0.08181580552409166</v>
      </c>
      <c r="H138" s="76">
        <f t="shared" si="41"/>
        <v>0.08077897126888481</v>
      </c>
      <c r="I138" s="76">
        <f t="shared" si="41"/>
        <v>0.0812536761616671</v>
      </c>
      <c r="J138" s="76">
        <f t="shared" si="41"/>
        <v>0.08277822908204711</v>
      </c>
      <c r="K138" s="76">
        <f t="shared" si="41"/>
        <v>0.08378061053337806</v>
      </c>
      <c r="L138" s="76">
        <f t="shared" si="41"/>
        <v>0.08357348703170028</v>
      </c>
      <c r="M138" s="76">
        <f t="shared" si="41"/>
        <v>0.08268985681085539</v>
      </c>
      <c r="N138" s="76">
        <f t="shared" si="41"/>
        <v>0.08527007533258535</v>
      </c>
      <c r="O138" s="76">
        <f t="shared" si="41"/>
        <v>0.0830060422960725</v>
      </c>
      <c r="P138" s="76">
        <f t="shared" si="41"/>
        <v>0.08432981633450566</v>
      </c>
      <c r="Q138" s="76">
        <f t="shared" si="41"/>
        <v>0.0823113013416742</v>
      </c>
      <c r="R138" s="76">
        <f t="shared" si="41"/>
        <v>0.0851747075464485</v>
      </c>
      <c r="S138" s="76">
        <f t="shared" si="41"/>
        <v>0.08371127680836345</v>
      </c>
      <c r="T138" s="76">
        <f t="shared" si="41"/>
        <v>0.08388468809073724</v>
      </c>
      <c r="U138" s="76">
        <f t="shared" si="41"/>
        <v>0.08205050428452264</v>
      </c>
      <c r="V138" s="76">
        <f t="shared" si="41"/>
        <v>0.08099896250185268</v>
      </c>
      <c r="W138" s="76">
        <f t="shared" si="41"/>
        <v>0.08282982791586999</v>
      </c>
      <c r="X138" s="76">
        <f t="shared" si="41"/>
        <v>0.07946755938147616</v>
      </c>
      <c r="Y138" s="76">
        <f t="shared" si="41"/>
        <v>0.07868363067737578</v>
      </c>
      <c r="Z138" s="76">
        <f t="shared" si="41"/>
        <v>0.08046069587628867</v>
      </c>
      <c r="AA138" s="76">
        <f t="shared" si="41"/>
        <v>0.07643357137806689</v>
      </c>
      <c r="AB138" s="76">
        <f t="shared" si="41"/>
        <v>0.07806925498426023</v>
      </c>
      <c r="AC138" s="76">
        <f t="shared" si="41"/>
        <v>0.07355939883694584</v>
      </c>
      <c r="AD138" s="76">
        <f t="shared" si="41"/>
        <v>0.07694456081552856</v>
      </c>
      <c r="AE138" s="76">
        <f t="shared" si="41"/>
        <v>0.07501481042654029</v>
      </c>
      <c r="AF138" s="76">
        <f t="shared" si="41"/>
        <v>0.07311479832726292</v>
      </c>
      <c r="AG138" s="76">
        <f t="shared" si="41"/>
        <v>0.07143365857132683</v>
      </c>
      <c r="AH138" s="76">
        <f t="shared" si="41"/>
        <v>0.07032286598850067</v>
      </c>
      <c r="AI138" s="76">
        <f t="shared" si="41"/>
        <v>0.07311910717721763</v>
      </c>
    </row>
    <row r="139" spans="2:35" ht="12.75">
      <c r="B139" s="73" t="s">
        <v>53</v>
      </c>
      <c r="C139" s="76">
        <f t="shared" si="35"/>
        <v>0</v>
      </c>
      <c r="D139" s="76">
        <f aca="true" t="shared" si="42" ref="D139:AI139">D72/D$108</f>
        <v>0</v>
      </c>
      <c r="E139" s="76">
        <f t="shared" si="42"/>
        <v>0</v>
      </c>
      <c r="F139" s="76">
        <f t="shared" si="42"/>
        <v>0</v>
      </c>
      <c r="G139" s="76">
        <f t="shared" si="42"/>
        <v>0</v>
      </c>
      <c r="H139" s="76">
        <f t="shared" si="42"/>
        <v>0</v>
      </c>
      <c r="I139" s="76">
        <f t="shared" si="42"/>
        <v>0</v>
      </c>
      <c r="J139" s="76">
        <f t="shared" si="42"/>
        <v>0</v>
      </c>
      <c r="K139" s="76">
        <f t="shared" si="42"/>
        <v>0</v>
      </c>
      <c r="L139" s="76">
        <f t="shared" si="42"/>
        <v>0</v>
      </c>
      <c r="M139" s="76">
        <f t="shared" si="42"/>
        <v>0</v>
      </c>
      <c r="N139" s="76">
        <f t="shared" si="42"/>
        <v>0</v>
      </c>
      <c r="O139" s="76">
        <f t="shared" si="42"/>
        <v>0</v>
      </c>
      <c r="P139" s="76">
        <f t="shared" si="42"/>
        <v>0</v>
      </c>
      <c r="Q139" s="76">
        <f t="shared" si="42"/>
        <v>0</v>
      </c>
      <c r="R139" s="76">
        <f t="shared" si="42"/>
        <v>0</v>
      </c>
      <c r="S139" s="76">
        <f t="shared" si="42"/>
        <v>0</v>
      </c>
      <c r="T139" s="76">
        <f t="shared" si="42"/>
        <v>0</v>
      </c>
      <c r="U139" s="76">
        <f t="shared" si="42"/>
        <v>0</v>
      </c>
      <c r="V139" s="76">
        <f t="shared" si="42"/>
        <v>0</v>
      </c>
      <c r="W139" s="76">
        <f t="shared" si="42"/>
        <v>0</v>
      </c>
      <c r="X139" s="76">
        <f t="shared" si="42"/>
        <v>0</v>
      </c>
      <c r="Y139" s="76">
        <f t="shared" si="42"/>
        <v>0</v>
      </c>
      <c r="Z139" s="76">
        <f t="shared" si="42"/>
        <v>0</v>
      </c>
      <c r="AA139" s="76">
        <f t="shared" si="42"/>
        <v>0</v>
      </c>
      <c r="AB139" s="76">
        <f t="shared" si="42"/>
        <v>0.0006995452955578874</v>
      </c>
      <c r="AC139" s="76">
        <f t="shared" si="42"/>
        <v>0.0012083679480401782</v>
      </c>
      <c r="AD139" s="76">
        <f t="shared" si="42"/>
        <v>0.0016059209607596704</v>
      </c>
      <c r="AE139" s="76">
        <f t="shared" si="42"/>
        <v>0.002591824644549763</v>
      </c>
      <c r="AF139" s="76">
        <f t="shared" si="42"/>
        <v>0.00424929178470255</v>
      </c>
      <c r="AG139" s="76">
        <f t="shared" si="42"/>
        <v>0.006053699878926002</v>
      </c>
      <c r="AH139" s="76">
        <f t="shared" si="42"/>
        <v>0.007445083296476486</v>
      </c>
      <c r="AI139" s="76">
        <f t="shared" si="42"/>
        <v>0.007696748123917645</v>
      </c>
    </row>
    <row r="140" spans="2:35" ht="12.75">
      <c r="B140" s="73" t="s">
        <v>6</v>
      </c>
      <c r="C140" s="76">
        <f t="shared" si="35"/>
        <v>0.013117754728492984</v>
      </c>
      <c r="D140" s="76">
        <f aca="true" t="shared" si="43" ref="D140:AI140">D73/D$108</f>
        <v>0.01321978913219789</v>
      </c>
      <c r="E140" s="76">
        <f t="shared" si="43"/>
        <v>0.013176638176638177</v>
      </c>
      <c r="F140" s="76">
        <f t="shared" si="43"/>
        <v>0.013204537398085785</v>
      </c>
      <c r="G140" s="76">
        <f t="shared" si="43"/>
        <v>0.012633963579332578</v>
      </c>
      <c r="H140" s="76">
        <f t="shared" si="43"/>
        <v>0.012313335079905684</v>
      </c>
      <c r="I140" s="76">
        <f t="shared" si="43"/>
        <v>0.012603982858583312</v>
      </c>
      <c r="J140" s="76">
        <f t="shared" si="43"/>
        <v>0.012591389114541024</v>
      </c>
      <c r="K140" s="76">
        <f t="shared" si="43"/>
        <v>0.011405568601140557</v>
      </c>
      <c r="L140" s="76">
        <f t="shared" si="43"/>
        <v>0.012698126801152738</v>
      </c>
      <c r="M140" s="76">
        <f t="shared" si="43"/>
        <v>0.012294774720743683</v>
      </c>
      <c r="N140" s="76">
        <f t="shared" si="43"/>
        <v>0.010979323609552814</v>
      </c>
      <c r="O140" s="76">
        <f t="shared" si="43"/>
        <v>0.011480362537764351</v>
      </c>
      <c r="P140" s="76">
        <f t="shared" si="43"/>
        <v>0.011723329425556858</v>
      </c>
      <c r="Q140" s="76">
        <f t="shared" si="43"/>
        <v>0.01135895958515104</v>
      </c>
      <c r="R140" s="76">
        <f t="shared" si="43"/>
        <v>0.010398348497591558</v>
      </c>
      <c r="S140" s="76">
        <f t="shared" si="43"/>
        <v>0.01106925974325467</v>
      </c>
      <c r="T140" s="76">
        <f t="shared" si="43"/>
        <v>0.01110586011342155</v>
      </c>
      <c r="U140" s="76">
        <f t="shared" si="43"/>
        <v>0.011754000151664518</v>
      </c>
      <c r="V140" s="76">
        <f t="shared" si="43"/>
        <v>0.012524084778420038</v>
      </c>
      <c r="W140" s="76">
        <f t="shared" si="43"/>
        <v>0.0130019120458891</v>
      </c>
      <c r="X140" s="76">
        <f t="shared" si="43"/>
        <v>0.0117168818747011</v>
      </c>
      <c r="Y140" s="76">
        <f t="shared" si="43"/>
        <v>0.012154381974553983</v>
      </c>
      <c r="Z140" s="76">
        <f t="shared" si="43"/>
        <v>0.011678479381443299</v>
      </c>
      <c r="AA140" s="76">
        <f t="shared" si="43"/>
        <v>0.011949374248744963</v>
      </c>
      <c r="AB140" s="76">
        <f t="shared" si="43"/>
        <v>0.01112277019937041</v>
      </c>
      <c r="AC140" s="76">
        <f t="shared" si="43"/>
        <v>0.011857110490144249</v>
      </c>
      <c r="AD140" s="76">
        <f t="shared" si="43"/>
        <v>0.010822510822510822</v>
      </c>
      <c r="AE140" s="76">
        <f t="shared" si="43"/>
        <v>0.010589454976303318</v>
      </c>
      <c r="AF140" s="76">
        <f t="shared" si="43"/>
        <v>0.010252259544044247</v>
      </c>
      <c r="AG140" s="76">
        <f t="shared" si="43"/>
        <v>0.009828359803432805</v>
      </c>
      <c r="AH140" s="76">
        <f t="shared" si="43"/>
        <v>0.009287925696594427</v>
      </c>
      <c r="AI140" s="76">
        <f t="shared" si="43"/>
        <v>0.01019819126419088</v>
      </c>
    </row>
    <row r="141" spans="2:35" ht="12.75">
      <c r="B141" s="73" t="s">
        <v>7</v>
      </c>
      <c r="C141" s="76">
        <f t="shared" si="35"/>
        <v>0.02928615009151922</v>
      </c>
      <c r="D141" s="76">
        <f aca="true" t="shared" si="44" ref="D141:AI141">D74/D$108</f>
        <v>0.027575020275750203</v>
      </c>
      <c r="E141" s="76">
        <f t="shared" si="44"/>
        <v>0.026264245014245013</v>
      </c>
      <c r="F141" s="76">
        <f t="shared" si="44"/>
        <v>0.02685218007798653</v>
      </c>
      <c r="G141" s="76">
        <f t="shared" si="44"/>
        <v>0.027446196741308704</v>
      </c>
      <c r="H141" s="76">
        <f t="shared" si="44"/>
        <v>0.027683171775390796</v>
      </c>
      <c r="I141" s="76">
        <f t="shared" si="44"/>
        <v>0.028821107469960507</v>
      </c>
      <c r="J141" s="76">
        <f t="shared" si="44"/>
        <v>0.031112916328188463</v>
      </c>
      <c r="K141" s="76">
        <f t="shared" si="44"/>
        <v>0.029771888627977187</v>
      </c>
      <c r="L141" s="76">
        <f t="shared" si="44"/>
        <v>0.02989913544668588</v>
      </c>
      <c r="M141" s="76">
        <f t="shared" si="44"/>
        <v>0.03036209610915361</v>
      </c>
      <c r="N141" s="76">
        <f t="shared" si="44"/>
        <v>0.029491905754127263</v>
      </c>
      <c r="O141" s="76">
        <f t="shared" si="44"/>
        <v>0.03240181268882175</v>
      </c>
      <c r="P141" s="76">
        <f t="shared" si="44"/>
        <v>0.029073856975381007</v>
      </c>
      <c r="Q141" s="76">
        <f t="shared" si="44"/>
        <v>0.028232776360194254</v>
      </c>
      <c r="R141" s="76">
        <f t="shared" si="44"/>
        <v>0.030736294823763284</v>
      </c>
      <c r="S141" s="76">
        <f t="shared" si="44"/>
        <v>0.027903758936121147</v>
      </c>
      <c r="T141" s="76">
        <f t="shared" si="44"/>
        <v>0.028040327662255827</v>
      </c>
      <c r="U141" s="76">
        <f t="shared" si="44"/>
        <v>0.027147948737392888</v>
      </c>
      <c r="V141" s="76">
        <f t="shared" si="44"/>
        <v>0.0246776345042241</v>
      </c>
      <c r="W141" s="76">
        <f t="shared" si="44"/>
        <v>0.025697896749521987</v>
      </c>
      <c r="X141" s="76">
        <f t="shared" si="44"/>
        <v>0.02773792443806791</v>
      </c>
      <c r="Y141" s="76">
        <f t="shared" si="44"/>
        <v>0.02388229440614116</v>
      </c>
      <c r="Z141" s="76">
        <f t="shared" si="44"/>
        <v>0.024887242268041235</v>
      </c>
      <c r="AA141" s="76">
        <f t="shared" si="44"/>
        <v>0.024888637488510217</v>
      </c>
      <c r="AB141" s="76">
        <f t="shared" si="44"/>
        <v>0.022385449457852397</v>
      </c>
      <c r="AC141" s="76">
        <f t="shared" si="44"/>
        <v>0.022279284041990786</v>
      </c>
      <c r="AD141" s="76">
        <f t="shared" si="44"/>
        <v>0.022482893450635387</v>
      </c>
      <c r="AE141" s="76">
        <f t="shared" si="44"/>
        <v>0.02295616113744076</v>
      </c>
      <c r="AF141" s="76">
        <f t="shared" si="44"/>
        <v>0.021786051531094024</v>
      </c>
      <c r="AG141" s="76">
        <f t="shared" si="44"/>
        <v>0.021223559575528808</v>
      </c>
      <c r="AH141" s="76">
        <f t="shared" si="44"/>
        <v>0.02100840336134454</v>
      </c>
      <c r="AI141" s="76">
        <f t="shared" si="44"/>
        <v>0.019947405554486562</v>
      </c>
    </row>
    <row r="142" spans="2:35" ht="12.75">
      <c r="B142" s="73" t="s">
        <v>8</v>
      </c>
      <c r="C142" s="76">
        <f t="shared" si="35"/>
        <v>0.025116941224323775</v>
      </c>
      <c r="D142" s="76">
        <f aca="true" t="shared" si="45" ref="D142:AI142">D75/D$108</f>
        <v>0.025709651257096514</v>
      </c>
      <c r="E142" s="76">
        <f t="shared" si="45"/>
        <v>0.024127492877492877</v>
      </c>
      <c r="F142" s="76">
        <f t="shared" si="45"/>
        <v>0.02578872740163063</v>
      </c>
      <c r="G142" s="76">
        <f t="shared" si="45"/>
        <v>0.026313496558334058</v>
      </c>
      <c r="H142" s="76">
        <f t="shared" si="45"/>
        <v>0.02637324251157104</v>
      </c>
      <c r="I142" s="76">
        <f t="shared" si="45"/>
        <v>0.026300310898243844</v>
      </c>
      <c r="J142" s="76">
        <f t="shared" si="45"/>
        <v>0.025995125913891144</v>
      </c>
      <c r="K142" s="76">
        <f t="shared" si="45"/>
        <v>0.02549480040254948</v>
      </c>
      <c r="L142" s="76">
        <f t="shared" si="45"/>
        <v>0.024855907780979826</v>
      </c>
      <c r="M142" s="76">
        <f t="shared" si="45"/>
        <v>0.026838593597720967</v>
      </c>
      <c r="N142" s="76">
        <f t="shared" si="45"/>
        <v>0.02460330181118769</v>
      </c>
      <c r="O142" s="76">
        <f t="shared" si="45"/>
        <v>0.026661631419939578</v>
      </c>
      <c r="P142" s="76">
        <f t="shared" si="45"/>
        <v>0.025713169206721377</v>
      </c>
      <c r="Q142" s="76">
        <f t="shared" si="45"/>
        <v>0.02518725821055231</v>
      </c>
      <c r="R142" s="76">
        <f t="shared" si="45"/>
        <v>0.024466702347274258</v>
      </c>
      <c r="S142" s="76">
        <f t="shared" si="45"/>
        <v>0.02359904681374433</v>
      </c>
      <c r="T142" s="76">
        <f t="shared" si="45"/>
        <v>0.024810964083175804</v>
      </c>
      <c r="U142" s="76">
        <f t="shared" si="45"/>
        <v>0.024417987411844998</v>
      </c>
      <c r="V142" s="76">
        <f t="shared" si="45"/>
        <v>0.023714243367422557</v>
      </c>
      <c r="W142" s="76">
        <f t="shared" si="45"/>
        <v>0.024550669216061187</v>
      </c>
      <c r="X142" s="76">
        <f t="shared" si="45"/>
        <v>0.024071417184760083</v>
      </c>
      <c r="Y142" s="76">
        <f t="shared" si="45"/>
        <v>0.022958277063046414</v>
      </c>
      <c r="Z142" s="76">
        <f t="shared" si="45"/>
        <v>0.023195876288659795</v>
      </c>
      <c r="AA142" s="76">
        <f t="shared" si="45"/>
        <v>0.022201795941455136</v>
      </c>
      <c r="AB142" s="76">
        <f t="shared" si="45"/>
        <v>0.022385449457852397</v>
      </c>
      <c r="AC142" s="76">
        <f t="shared" si="45"/>
        <v>0.021599577071218186</v>
      </c>
      <c r="AD142" s="76">
        <f t="shared" si="45"/>
        <v>0.02094679514034353</v>
      </c>
      <c r="AE142" s="76">
        <f t="shared" si="45"/>
        <v>0.01940165876777251</v>
      </c>
      <c r="AF142" s="76">
        <f t="shared" si="45"/>
        <v>0.020369620936193173</v>
      </c>
      <c r="AG142" s="76">
        <f t="shared" si="45"/>
        <v>0.01944305961113881</v>
      </c>
      <c r="AH142" s="76">
        <f t="shared" si="45"/>
        <v>0.02027126640129736</v>
      </c>
      <c r="AI142" s="76">
        <f t="shared" si="45"/>
        <v>0.01834391636200372</v>
      </c>
    </row>
    <row r="143" spans="2:35" ht="12.75">
      <c r="B143" s="73" t="s">
        <v>9</v>
      </c>
      <c r="C143" s="76">
        <f t="shared" si="35"/>
        <v>0.12497457799471222</v>
      </c>
      <c r="D143" s="76">
        <f aca="true" t="shared" si="46" ref="D143:AI143">D76/D$108</f>
        <v>0.12278994322789943</v>
      </c>
      <c r="E143" s="76">
        <f t="shared" si="46"/>
        <v>0.1241096866096866</v>
      </c>
      <c r="F143" s="76">
        <f t="shared" si="46"/>
        <v>0.12008153137185396</v>
      </c>
      <c r="G143" s="76">
        <f t="shared" si="46"/>
        <v>0.121198919578287</v>
      </c>
      <c r="H143" s="76">
        <f t="shared" si="46"/>
        <v>0.12182342153523709</v>
      </c>
      <c r="I143" s="76">
        <f t="shared" si="46"/>
        <v>0.12603982858583312</v>
      </c>
      <c r="J143" s="76">
        <f t="shared" si="46"/>
        <v>0.12331437855402112</v>
      </c>
      <c r="K143" s="76">
        <f t="shared" si="46"/>
        <v>0.12588057698758806</v>
      </c>
      <c r="L143" s="76">
        <f t="shared" si="46"/>
        <v>0.1273414985590778</v>
      </c>
      <c r="M143" s="76">
        <f t="shared" si="46"/>
        <v>0.1287202938751031</v>
      </c>
      <c r="N143" s="76">
        <f t="shared" si="46"/>
        <v>0.12485975316557141</v>
      </c>
      <c r="O143" s="76">
        <f t="shared" si="46"/>
        <v>0.12885196374622357</v>
      </c>
      <c r="P143" s="76">
        <f t="shared" si="46"/>
        <v>0.12661195779601406</v>
      </c>
      <c r="Q143" s="76">
        <f t="shared" si="46"/>
        <v>0.12568935714873652</v>
      </c>
      <c r="R143" s="76">
        <f t="shared" si="46"/>
        <v>0.12294517929505314</v>
      </c>
      <c r="S143" s="76">
        <f t="shared" si="46"/>
        <v>0.12852640479667923</v>
      </c>
      <c r="T143" s="76">
        <f t="shared" si="46"/>
        <v>0.12373976055450536</v>
      </c>
      <c r="U143" s="76">
        <f t="shared" si="46"/>
        <v>0.1250473951619019</v>
      </c>
      <c r="V143" s="76">
        <f t="shared" si="46"/>
        <v>0.12435156365792203</v>
      </c>
      <c r="W143" s="76">
        <f t="shared" si="46"/>
        <v>0.12</v>
      </c>
      <c r="X143" s="76">
        <f t="shared" si="46"/>
        <v>0.12179180615335565</v>
      </c>
      <c r="Y143" s="76">
        <f t="shared" si="46"/>
        <v>0.11884284597341674</v>
      </c>
      <c r="Z143" s="76">
        <f t="shared" si="46"/>
        <v>0.11452963917525773</v>
      </c>
      <c r="AA143" s="76">
        <f t="shared" si="46"/>
        <v>0.11807961535742063</v>
      </c>
      <c r="AB143" s="76">
        <f t="shared" si="46"/>
        <v>0.11388597411682407</v>
      </c>
      <c r="AC143" s="76">
        <f t="shared" si="46"/>
        <v>0.11562570802809455</v>
      </c>
      <c r="AD143" s="76">
        <f t="shared" si="46"/>
        <v>0.1146487920681469</v>
      </c>
      <c r="AE143" s="76">
        <f t="shared" si="46"/>
        <v>0.11159656398104266</v>
      </c>
      <c r="AF143" s="76">
        <f t="shared" si="46"/>
        <v>0.11014434102252799</v>
      </c>
      <c r="AG143" s="76">
        <f t="shared" si="46"/>
        <v>0.10953635780927284</v>
      </c>
      <c r="AH143" s="76">
        <f t="shared" si="46"/>
        <v>0.10998083443903878</v>
      </c>
      <c r="AI143" s="76">
        <f t="shared" si="46"/>
        <v>0.10640754281316143</v>
      </c>
    </row>
    <row r="144" spans="2:35" ht="12.75">
      <c r="B144" s="73" t="s">
        <v>10</v>
      </c>
      <c r="C144" s="76">
        <f t="shared" si="35"/>
        <v>0.04738661785641651</v>
      </c>
      <c r="D144" s="76">
        <f aca="true" t="shared" si="47" ref="D144:AI144">D77/D$108</f>
        <v>0.046309813463098135</v>
      </c>
      <c r="E144" s="76">
        <f t="shared" si="47"/>
        <v>0.04478276353276353</v>
      </c>
      <c r="F144" s="76">
        <f t="shared" si="47"/>
        <v>0.047766749379652605</v>
      </c>
      <c r="G144" s="76">
        <f t="shared" si="47"/>
        <v>0.04957741570096715</v>
      </c>
      <c r="H144" s="76">
        <f t="shared" si="47"/>
        <v>0.049515326172386694</v>
      </c>
      <c r="I144" s="76">
        <f t="shared" si="47"/>
        <v>0.048903453491303255</v>
      </c>
      <c r="J144" s="76">
        <f t="shared" si="47"/>
        <v>0.051665312753858654</v>
      </c>
      <c r="K144" s="76">
        <f t="shared" si="47"/>
        <v>0.04855753102985575</v>
      </c>
      <c r="L144" s="76">
        <f t="shared" si="47"/>
        <v>0.0480007204610951</v>
      </c>
      <c r="M144" s="76">
        <f t="shared" si="47"/>
        <v>0.04827948122048129</v>
      </c>
      <c r="N144" s="76">
        <f t="shared" si="47"/>
        <v>0.04824491104343645</v>
      </c>
      <c r="O144" s="76">
        <f t="shared" si="47"/>
        <v>0.04833836858006042</v>
      </c>
      <c r="P144" s="76">
        <f t="shared" si="47"/>
        <v>0.04978507229386479</v>
      </c>
      <c r="Q144" s="76">
        <f t="shared" si="47"/>
        <v>0.049386780805004526</v>
      </c>
      <c r="R144" s="76">
        <f t="shared" si="47"/>
        <v>0.04885694624971328</v>
      </c>
      <c r="S144" s="76">
        <f t="shared" si="47"/>
        <v>0.04535321700361288</v>
      </c>
      <c r="T144" s="76">
        <f t="shared" si="47"/>
        <v>0.04639256458727158</v>
      </c>
      <c r="U144" s="76">
        <f t="shared" si="47"/>
        <v>0.044741032835368164</v>
      </c>
      <c r="V144" s="76">
        <f t="shared" si="47"/>
        <v>0.04690973766118275</v>
      </c>
      <c r="W144" s="76">
        <f t="shared" si="47"/>
        <v>0.04405353728489484</v>
      </c>
      <c r="X144" s="76">
        <f t="shared" si="47"/>
        <v>0.04599075402518731</v>
      </c>
      <c r="Y144" s="76">
        <f t="shared" si="47"/>
        <v>0.045276849811642615</v>
      </c>
      <c r="Z144" s="76">
        <f t="shared" si="47"/>
        <v>0.044297680412371136</v>
      </c>
      <c r="AA144" s="76">
        <f t="shared" si="47"/>
        <v>0.04468641730891607</v>
      </c>
      <c r="AB144" s="76">
        <f t="shared" si="47"/>
        <v>0.0435117173837006</v>
      </c>
      <c r="AC144" s="76">
        <f t="shared" si="47"/>
        <v>0.041537648213881125</v>
      </c>
      <c r="AD144" s="76">
        <f t="shared" si="47"/>
        <v>0.043359865940511104</v>
      </c>
      <c r="AE144" s="76">
        <f t="shared" si="47"/>
        <v>0.04206161137440758</v>
      </c>
      <c r="AF144" s="76">
        <f t="shared" si="47"/>
        <v>0.040941589100229325</v>
      </c>
      <c r="AG144" s="76">
        <f t="shared" si="47"/>
        <v>0.042447119151057616</v>
      </c>
      <c r="AH144" s="76">
        <f t="shared" si="47"/>
        <v>0.04098481497862303</v>
      </c>
      <c r="AI144" s="76">
        <f t="shared" si="47"/>
        <v>0.04053620678596626</v>
      </c>
    </row>
    <row r="145" spans="2:35" ht="12.75">
      <c r="B145" s="73" t="s">
        <v>11</v>
      </c>
      <c r="C145" s="76">
        <f t="shared" si="35"/>
        <v>0.04260728086231442</v>
      </c>
      <c r="D145" s="76">
        <f aca="true" t="shared" si="48" ref="D145:AI145">D78/D$108</f>
        <v>0.04257907542579075</v>
      </c>
      <c r="E145" s="76">
        <f t="shared" si="48"/>
        <v>0.04113247863247863</v>
      </c>
      <c r="F145" s="76">
        <f t="shared" si="48"/>
        <v>0.04049982275788727</v>
      </c>
      <c r="G145" s="76">
        <f t="shared" si="48"/>
        <v>0.04042868345386425</v>
      </c>
      <c r="H145" s="76">
        <f t="shared" si="48"/>
        <v>0.04069513579600035</v>
      </c>
      <c r="I145" s="76">
        <f t="shared" si="48"/>
        <v>0.04100495756659104</v>
      </c>
      <c r="J145" s="76">
        <f t="shared" si="48"/>
        <v>0.03915515840779854</v>
      </c>
      <c r="K145" s="76">
        <f t="shared" si="48"/>
        <v>0.039751761153975176</v>
      </c>
      <c r="L145" s="76">
        <f t="shared" si="48"/>
        <v>0.03953530259365994</v>
      </c>
      <c r="M145" s="76">
        <f t="shared" si="48"/>
        <v>0.03875852762575905</v>
      </c>
      <c r="N145" s="76">
        <f t="shared" si="48"/>
        <v>0.03734572848212855</v>
      </c>
      <c r="O145" s="76">
        <f t="shared" si="48"/>
        <v>0.03632930513595166</v>
      </c>
      <c r="P145" s="76">
        <f t="shared" si="48"/>
        <v>0.03774912075029308</v>
      </c>
      <c r="Q145" s="76">
        <f t="shared" si="48"/>
        <v>0.037616264713145116</v>
      </c>
      <c r="R145" s="76">
        <f t="shared" si="48"/>
        <v>0.03868797308662742</v>
      </c>
      <c r="S145" s="76">
        <f t="shared" si="48"/>
        <v>0.03835805980475056</v>
      </c>
      <c r="T145" s="76">
        <f t="shared" si="48"/>
        <v>0.036546943919344675</v>
      </c>
      <c r="U145" s="76">
        <f t="shared" si="48"/>
        <v>0.0389019488890574</v>
      </c>
      <c r="V145" s="76">
        <f t="shared" si="48"/>
        <v>0.03742404031421372</v>
      </c>
      <c r="W145" s="76">
        <f t="shared" si="48"/>
        <v>0.03717017208413002</v>
      </c>
      <c r="X145" s="76">
        <f t="shared" si="48"/>
        <v>0.036585365853658534</v>
      </c>
      <c r="Y145" s="76">
        <f t="shared" si="48"/>
        <v>0.03681853720946762</v>
      </c>
      <c r="Z145" s="76">
        <f t="shared" si="48"/>
        <v>0.035438144329896906</v>
      </c>
      <c r="AA145" s="76">
        <f t="shared" si="48"/>
        <v>0.036555186311249384</v>
      </c>
      <c r="AB145" s="76">
        <f t="shared" si="48"/>
        <v>0.03581671913256383</v>
      </c>
      <c r="AC145" s="76">
        <f t="shared" si="48"/>
        <v>0.035571331470432746</v>
      </c>
      <c r="AD145" s="76">
        <f t="shared" si="48"/>
        <v>0.03519061583577713</v>
      </c>
      <c r="AE145" s="76">
        <f t="shared" si="48"/>
        <v>0.03613744075829384</v>
      </c>
      <c r="AF145" s="76">
        <f t="shared" si="48"/>
        <v>0.035545663024416564</v>
      </c>
      <c r="AG145" s="76">
        <f t="shared" si="48"/>
        <v>0.034256819314863615</v>
      </c>
      <c r="AH145" s="76">
        <f t="shared" si="48"/>
        <v>0.032802594722099364</v>
      </c>
      <c r="AI145" s="76">
        <f t="shared" si="48"/>
        <v>0.033993970880636264</v>
      </c>
    </row>
    <row r="146" spans="2:35" ht="12.75">
      <c r="B146" s="73" t="s">
        <v>12</v>
      </c>
      <c r="C146" s="76">
        <f t="shared" si="35"/>
        <v>0.0021354484441732766</v>
      </c>
      <c r="D146" s="76">
        <f aca="true" t="shared" si="49" ref="D146:AI146">D79/D$108</f>
        <v>0.0025141930251419303</v>
      </c>
      <c r="E146" s="76">
        <f t="shared" si="49"/>
        <v>0.001958689458689459</v>
      </c>
      <c r="F146" s="76">
        <f t="shared" si="49"/>
        <v>0.0021269053527118043</v>
      </c>
      <c r="G146" s="76">
        <f t="shared" si="49"/>
        <v>0.002439661932560774</v>
      </c>
      <c r="H146" s="76">
        <f t="shared" si="49"/>
        <v>0.002532529910051524</v>
      </c>
      <c r="I146" s="76">
        <f t="shared" si="49"/>
        <v>0.0031089824384505503</v>
      </c>
      <c r="J146" s="76">
        <f t="shared" si="49"/>
        <v>0.003411860276198213</v>
      </c>
      <c r="K146" s="76">
        <f t="shared" si="49"/>
        <v>0.0037739013753773903</v>
      </c>
      <c r="L146" s="76">
        <f t="shared" si="49"/>
        <v>0.003962536023054755</v>
      </c>
      <c r="M146" s="76">
        <f t="shared" si="49"/>
        <v>0.0030736936801859208</v>
      </c>
      <c r="N146" s="76">
        <f t="shared" si="49"/>
        <v>0.004087193460490463</v>
      </c>
      <c r="O146" s="76">
        <f t="shared" si="49"/>
        <v>0.0030966767371601207</v>
      </c>
      <c r="P146" s="76">
        <f t="shared" si="49"/>
        <v>0.0035951543571707697</v>
      </c>
      <c r="Q146" s="76">
        <f t="shared" si="49"/>
        <v>0.003539385957691991</v>
      </c>
      <c r="R146" s="76">
        <f t="shared" si="49"/>
        <v>0.002905420903738818</v>
      </c>
      <c r="S146" s="76">
        <f t="shared" si="49"/>
        <v>0.0036128833884233992</v>
      </c>
      <c r="T146" s="76">
        <f t="shared" si="49"/>
        <v>0.0030718336483931945</v>
      </c>
      <c r="U146" s="76">
        <f t="shared" si="49"/>
        <v>0.0025024645484188974</v>
      </c>
      <c r="V146" s="76">
        <f t="shared" si="49"/>
        <v>0.002741959389358233</v>
      </c>
      <c r="W146" s="76">
        <f t="shared" si="49"/>
        <v>0.0032122370936902484</v>
      </c>
      <c r="X146" s="76">
        <f t="shared" si="49"/>
        <v>0.003028853817949944</v>
      </c>
      <c r="Y146" s="76">
        <f t="shared" si="49"/>
        <v>0.002985286800767645</v>
      </c>
      <c r="Z146" s="76">
        <f t="shared" si="49"/>
        <v>0.0028994845360824743</v>
      </c>
      <c r="AA146" s="76">
        <f t="shared" si="49"/>
        <v>0.002828254260057979</v>
      </c>
      <c r="AB146" s="76">
        <f t="shared" si="49"/>
        <v>0.002658272123119972</v>
      </c>
      <c r="AC146" s="76">
        <f t="shared" si="49"/>
        <v>0.0030964428668529566</v>
      </c>
      <c r="AD146" s="76">
        <f t="shared" si="49"/>
        <v>0.0036307778243262114</v>
      </c>
      <c r="AE146" s="76">
        <f t="shared" si="49"/>
        <v>0.0038507109004739335</v>
      </c>
      <c r="AF146" s="76">
        <f t="shared" si="49"/>
        <v>0.003102657493592338</v>
      </c>
      <c r="AG146" s="76">
        <f t="shared" si="49"/>
        <v>0.003917099921658002</v>
      </c>
      <c r="AH146" s="76">
        <f t="shared" si="49"/>
        <v>0.004275394368273625</v>
      </c>
      <c r="AI146" s="76">
        <f t="shared" si="49"/>
        <v>0.004874607145147842</v>
      </c>
    </row>
    <row r="147" spans="2:35" ht="12.75">
      <c r="B147" s="73" t="s">
        <v>13</v>
      </c>
      <c r="C147" s="76">
        <f t="shared" si="35"/>
        <v>0</v>
      </c>
      <c r="D147" s="76">
        <f aca="true" t="shared" si="50" ref="D147:AI147">D80/D$108</f>
        <v>0</v>
      </c>
      <c r="E147" s="76">
        <f t="shared" si="50"/>
        <v>0</v>
      </c>
      <c r="F147" s="76">
        <f t="shared" si="50"/>
        <v>0</v>
      </c>
      <c r="G147" s="76">
        <f t="shared" si="50"/>
        <v>0</v>
      </c>
      <c r="H147" s="76">
        <f t="shared" si="50"/>
        <v>0</v>
      </c>
      <c r="I147" s="76">
        <f t="shared" si="50"/>
        <v>0</v>
      </c>
      <c r="J147" s="76">
        <f t="shared" si="50"/>
        <v>0</v>
      </c>
      <c r="K147" s="76">
        <f t="shared" si="50"/>
        <v>0</v>
      </c>
      <c r="L147" s="76">
        <f t="shared" si="50"/>
        <v>0</v>
      </c>
      <c r="M147" s="76">
        <f t="shared" si="50"/>
        <v>0</v>
      </c>
      <c r="N147" s="76">
        <f t="shared" si="50"/>
        <v>0</v>
      </c>
      <c r="O147" s="76">
        <f t="shared" si="50"/>
        <v>0</v>
      </c>
      <c r="P147" s="76">
        <f t="shared" si="50"/>
        <v>0</v>
      </c>
      <c r="Q147" s="76">
        <f t="shared" si="50"/>
        <v>0</v>
      </c>
      <c r="R147" s="76">
        <f t="shared" si="50"/>
        <v>0</v>
      </c>
      <c r="S147" s="76">
        <f t="shared" si="50"/>
        <v>0</v>
      </c>
      <c r="T147" s="76">
        <f t="shared" si="50"/>
        <v>0</v>
      </c>
      <c r="U147" s="76">
        <f t="shared" si="50"/>
        <v>0</v>
      </c>
      <c r="V147" s="76">
        <f t="shared" si="50"/>
        <v>0</v>
      </c>
      <c r="W147" s="76">
        <f t="shared" si="50"/>
        <v>0</v>
      </c>
      <c r="X147" s="76">
        <f t="shared" si="50"/>
        <v>0.005898294277060417</v>
      </c>
      <c r="Y147" s="76">
        <f t="shared" si="50"/>
        <v>0.013647025374937807</v>
      </c>
      <c r="Z147" s="76">
        <f t="shared" si="50"/>
        <v>0.02021585051546392</v>
      </c>
      <c r="AA147" s="76">
        <f t="shared" si="50"/>
        <v>0.025100756558014567</v>
      </c>
      <c r="AB147" s="76">
        <f t="shared" si="50"/>
        <v>0.03057012941587968</v>
      </c>
      <c r="AC147" s="76">
        <f t="shared" si="50"/>
        <v>0.03436296352239257</v>
      </c>
      <c r="AD147" s="76">
        <f t="shared" si="50"/>
        <v>0.036447423544197735</v>
      </c>
      <c r="AE147" s="76">
        <f t="shared" si="50"/>
        <v>0.03902547393364929</v>
      </c>
      <c r="AF147" s="76">
        <f t="shared" si="50"/>
        <v>0.041413732631862946</v>
      </c>
      <c r="AG147" s="76">
        <f t="shared" si="50"/>
        <v>0.04486859910262802</v>
      </c>
      <c r="AH147" s="76">
        <f t="shared" si="50"/>
        <v>0.04518649565089194</v>
      </c>
      <c r="AI147" s="76">
        <f t="shared" si="50"/>
        <v>0.05041370021166058</v>
      </c>
    </row>
    <row r="148" spans="2:35" ht="12.75">
      <c r="B148" s="73" t="s">
        <v>14</v>
      </c>
      <c r="C148" s="76">
        <f t="shared" si="35"/>
        <v>0.020235916209070573</v>
      </c>
      <c r="D148" s="76">
        <f aca="true" t="shared" si="51" ref="D148:AI148">D81/D$108</f>
        <v>0.0267639902676399</v>
      </c>
      <c r="E148" s="76">
        <f t="shared" si="51"/>
        <v>0.031160968660968662</v>
      </c>
      <c r="F148" s="76">
        <f t="shared" si="51"/>
        <v>0.03270116979794399</v>
      </c>
      <c r="G148" s="76">
        <f t="shared" si="51"/>
        <v>0.0334582207894049</v>
      </c>
      <c r="H148" s="76">
        <f t="shared" si="51"/>
        <v>0.030390358920618286</v>
      </c>
      <c r="I148" s="76">
        <f t="shared" si="51"/>
        <v>0.02764473573649273</v>
      </c>
      <c r="J148" s="76">
        <f t="shared" si="51"/>
        <v>0.02851340373679935</v>
      </c>
      <c r="K148" s="76">
        <f t="shared" si="51"/>
        <v>0.027675276752767528</v>
      </c>
      <c r="L148" s="76">
        <f t="shared" si="51"/>
        <v>0.03170028818443804</v>
      </c>
      <c r="M148" s="76">
        <f t="shared" si="51"/>
        <v>0.03073693680185921</v>
      </c>
      <c r="N148" s="76">
        <f t="shared" si="51"/>
        <v>0.03237698349094406</v>
      </c>
      <c r="O148" s="76">
        <f t="shared" si="51"/>
        <v>0.03361027190332326</v>
      </c>
      <c r="P148" s="76">
        <f t="shared" si="51"/>
        <v>0.03712387651426338</v>
      </c>
      <c r="Q148" s="76">
        <f t="shared" si="51"/>
        <v>0.037040085603753395</v>
      </c>
      <c r="R148" s="76">
        <f t="shared" si="51"/>
        <v>0.03700588730025231</v>
      </c>
      <c r="S148" s="76">
        <f t="shared" si="51"/>
        <v>0.0388192789607195</v>
      </c>
      <c r="T148" s="76">
        <f t="shared" si="51"/>
        <v>0.03646817895400126</v>
      </c>
      <c r="U148" s="76">
        <f t="shared" si="51"/>
        <v>0.039129445666186397</v>
      </c>
      <c r="V148" s="76">
        <f t="shared" si="51"/>
        <v>0.04061064176671113</v>
      </c>
      <c r="W148" s="76">
        <f t="shared" si="51"/>
        <v>0.041147227533460805</v>
      </c>
      <c r="X148" s="76">
        <f t="shared" si="51"/>
        <v>0.04152717997768213</v>
      </c>
      <c r="Y148" s="76">
        <f t="shared" si="51"/>
        <v>0.04321558035396972</v>
      </c>
      <c r="Z148" s="76">
        <f t="shared" si="51"/>
        <v>0.04091494845360825</v>
      </c>
      <c r="AA148" s="76">
        <f t="shared" si="51"/>
        <v>0.04214098847486389</v>
      </c>
      <c r="AB148" s="76">
        <f t="shared" si="51"/>
        <v>0.04540048968170689</v>
      </c>
      <c r="AC148" s="76">
        <f t="shared" si="51"/>
        <v>0.04425647609697153</v>
      </c>
      <c r="AD148" s="76">
        <f t="shared" si="51"/>
        <v>0.047060466415305126</v>
      </c>
      <c r="AE148" s="76">
        <f t="shared" si="51"/>
        <v>0.04465343601895735</v>
      </c>
      <c r="AF148" s="76">
        <f t="shared" si="51"/>
        <v>0.046337515176042086</v>
      </c>
      <c r="AG148" s="76">
        <f t="shared" si="51"/>
        <v>0.04543835909123282</v>
      </c>
      <c r="AH148" s="76">
        <f t="shared" si="51"/>
        <v>0.04562877782692024</v>
      </c>
      <c r="AI148" s="76">
        <f t="shared" si="51"/>
        <v>0.045731511769610676</v>
      </c>
    </row>
    <row r="149" spans="2:35" ht="12.75">
      <c r="B149" s="73" t="s">
        <v>15</v>
      </c>
      <c r="C149" s="76">
        <f t="shared" si="35"/>
        <v>0.001525320317266626</v>
      </c>
      <c r="D149" s="76">
        <f aca="true" t="shared" si="52" ref="D149:AI149">D82/D$108</f>
        <v>0.0016220600162206002</v>
      </c>
      <c r="E149" s="76">
        <f t="shared" si="52"/>
        <v>0.0016025641025641025</v>
      </c>
      <c r="F149" s="76">
        <f t="shared" si="52"/>
        <v>0.0022155264090747964</v>
      </c>
      <c r="G149" s="76">
        <f t="shared" si="52"/>
        <v>0.0023525311492550317</v>
      </c>
      <c r="H149" s="76">
        <f t="shared" si="52"/>
        <v>0.0022705440572875733</v>
      </c>
      <c r="I149" s="76">
        <f t="shared" si="52"/>
        <v>0.00201663725737333</v>
      </c>
      <c r="J149" s="76">
        <f t="shared" si="52"/>
        <v>0.002518277822908205</v>
      </c>
      <c r="K149" s="76">
        <f t="shared" si="52"/>
        <v>0.0026836632002683663</v>
      </c>
      <c r="L149" s="76">
        <f t="shared" si="52"/>
        <v>0.002701729106628242</v>
      </c>
      <c r="M149" s="76">
        <f t="shared" si="52"/>
        <v>0.002848789264562561</v>
      </c>
      <c r="N149" s="76">
        <f t="shared" si="52"/>
        <v>0.0028049366885718866</v>
      </c>
      <c r="O149" s="76">
        <f t="shared" si="52"/>
        <v>0.0031722054380664655</v>
      </c>
      <c r="P149" s="76">
        <f t="shared" si="52"/>
        <v>0.0035169988276670576</v>
      </c>
      <c r="Q149" s="76">
        <f t="shared" si="52"/>
        <v>0.0041978763684253845</v>
      </c>
      <c r="R149" s="76">
        <f t="shared" si="52"/>
        <v>0.0035170884624206745</v>
      </c>
      <c r="S149" s="76">
        <f t="shared" si="52"/>
        <v>0.0031516642324544548</v>
      </c>
      <c r="T149" s="76">
        <f t="shared" si="52"/>
        <v>0.0038594833018273473</v>
      </c>
      <c r="U149" s="76">
        <f t="shared" si="52"/>
        <v>0.0037157806931068476</v>
      </c>
      <c r="V149" s="76">
        <f t="shared" si="52"/>
        <v>0.004001778568252557</v>
      </c>
      <c r="W149" s="76">
        <f t="shared" si="52"/>
        <v>0.004130019120458891</v>
      </c>
      <c r="X149" s="76">
        <f t="shared" si="52"/>
        <v>0.004622987406344652</v>
      </c>
      <c r="Y149" s="76">
        <f t="shared" si="52"/>
        <v>0.003482834600895586</v>
      </c>
      <c r="Z149" s="76">
        <f t="shared" si="52"/>
        <v>0.004188144329896907</v>
      </c>
      <c r="AA149" s="76">
        <f t="shared" si="52"/>
        <v>0.003959555964081171</v>
      </c>
      <c r="AB149" s="76">
        <f t="shared" si="52"/>
        <v>0.004616998950682056</v>
      </c>
      <c r="AC149" s="76">
        <f t="shared" si="52"/>
        <v>0.004002718827883091</v>
      </c>
      <c r="AD149" s="76">
        <f t="shared" si="52"/>
        <v>0.0047479402318111995</v>
      </c>
      <c r="AE149" s="76">
        <f t="shared" si="52"/>
        <v>0.004665284360189573</v>
      </c>
      <c r="AF149" s="76">
        <f t="shared" si="52"/>
        <v>0.004586537164440847</v>
      </c>
      <c r="AG149" s="76">
        <f t="shared" si="52"/>
        <v>0.004914179901716402</v>
      </c>
      <c r="AH149" s="76">
        <f t="shared" si="52"/>
        <v>0.005528527200353826</v>
      </c>
      <c r="AI149" s="76">
        <f t="shared" si="52"/>
        <v>0.0050028862805464695</v>
      </c>
    </row>
    <row r="150" spans="2:35" ht="12.75">
      <c r="B150" s="73" t="s">
        <v>16</v>
      </c>
      <c r="C150" s="76">
        <f t="shared" si="35"/>
        <v>0</v>
      </c>
      <c r="D150" s="76">
        <f aca="true" t="shared" si="53" ref="D150:AI150">D83/D$108</f>
        <v>0</v>
      </c>
      <c r="E150" s="76">
        <f t="shared" si="53"/>
        <v>0</v>
      </c>
      <c r="F150" s="76">
        <f t="shared" si="53"/>
        <v>0</v>
      </c>
      <c r="G150" s="76">
        <f t="shared" si="53"/>
        <v>0</v>
      </c>
      <c r="H150" s="76">
        <f t="shared" si="53"/>
        <v>0</v>
      </c>
      <c r="I150" s="76">
        <f t="shared" si="53"/>
        <v>0</v>
      </c>
      <c r="J150" s="76">
        <f t="shared" si="53"/>
        <v>0</v>
      </c>
      <c r="K150" s="76">
        <f t="shared" si="53"/>
        <v>0.002096611875209661</v>
      </c>
      <c r="L150" s="76">
        <f t="shared" si="53"/>
        <v>0.005763688760806916</v>
      </c>
      <c r="M150" s="76">
        <f t="shared" si="53"/>
        <v>0.011095284504085763</v>
      </c>
      <c r="N150" s="76">
        <f t="shared" si="53"/>
        <v>0.013944542394614522</v>
      </c>
      <c r="O150" s="76">
        <f t="shared" si="53"/>
        <v>0.018429003021148038</v>
      </c>
      <c r="P150" s="76">
        <f t="shared" si="53"/>
        <v>0.01922626025791325</v>
      </c>
      <c r="Q150" s="76">
        <f t="shared" si="53"/>
        <v>0.021400938348835295</v>
      </c>
      <c r="R150" s="76">
        <f t="shared" si="53"/>
        <v>0.02125544766419451</v>
      </c>
      <c r="S150" s="76">
        <f t="shared" si="53"/>
        <v>0.022907218079790913</v>
      </c>
      <c r="T150" s="76">
        <f t="shared" si="53"/>
        <v>0.025362318840579712</v>
      </c>
      <c r="U150" s="76">
        <f t="shared" si="53"/>
        <v>0.025934632592704936</v>
      </c>
      <c r="V150" s="76">
        <f t="shared" si="53"/>
        <v>0.026900844819919965</v>
      </c>
      <c r="W150" s="76">
        <f t="shared" si="53"/>
        <v>0.028910133843212237</v>
      </c>
      <c r="X150" s="76">
        <f t="shared" si="53"/>
        <v>0.02965088474414156</v>
      </c>
      <c r="Y150" s="76">
        <f t="shared" si="53"/>
        <v>0.03049257232212666</v>
      </c>
      <c r="Z150" s="76">
        <f t="shared" si="53"/>
        <v>0.031894329896907214</v>
      </c>
      <c r="AA150" s="76">
        <f t="shared" si="53"/>
        <v>0.03125220957364067</v>
      </c>
      <c r="AB150" s="76">
        <f t="shared" si="53"/>
        <v>0.032598810772997554</v>
      </c>
      <c r="AC150" s="76">
        <f t="shared" si="53"/>
        <v>0.03232384261007477</v>
      </c>
      <c r="AD150" s="76">
        <f t="shared" si="53"/>
        <v>0.03281664571987153</v>
      </c>
      <c r="AE150" s="76">
        <f t="shared" si="53"/>
        <v>0.03139810426540284</v>
      </c>
      <c r="AF150" s="76">
        <f t="shared" si="53"/>
        <v>0.031296371239714016</v>
      </c>
      <c r="AG150" s="76">
        <f t="shared" si="53"/>
        <v>0.031336799373264015</v>
      </c>
      <c r="AH150" s="76">
        <f t="shared" si="53"/>
        <v>0.03073861123396727</v>
      </c>
      <c r="AI150" s="76">
        <f t="shared" si="53"/>
        <v>0.03097941119876852</v>
      </c>
    </row>
    <row r="151" spans="2:35" ht="12.75">
      <c r="B151" s="73" t="s">
        <v>17</v>
      </c>
      <c r="C151" s="76">
        <f t="shared" si="35"/>
        <v>0</v>
      </c>
      <c r="D151" s="76">
        <f aca="true" t="shared" si="54" ref="D151:AI151">D84/D$108</f>
        <v>0</v>
      </c>
      <c r="E151" s="76">
        <f t="shared" si="54"/>
        <v>0</v>
      </c>
      <c r="F151" s="76">
        <f t="shared" si="54"/>
        <v>0</v>
      </c>
      <c r="G151" s="76">
        <f t="shared" si="54"/>
        <v>0</v>
      </c>
      <c r="H151" s="76">
        <f t="shared" si="54"/>
        <v>0</v>
      </c>
      <c r="I151" s="76">
        <f t="shared" si="54"/>
        <v>0</v>
      </c>
      <c r="J151" s="76">
        <f t="shared" si="54"/>
        <v>0</v>
      </c>
      <c r="K151" s="76">
        <f t="shared" si="54"/>
        <v>0</v>
      </c>
      <c r="L151" s="76">
        <f t="shared" si="54"/>
        <v>0</v>
      </c>
      <c r="M151" s="76">
        <f t="shared" si="54"/>
        <v>0</v>
      </c>
      <c r="N151" s="76">
        <f t="shared" si="54"/>
        <v>0</v>
      </c>
      <c r="O151" s="76">
        <f t="shared" si="54"/>
        <v>0</v>
      </c>
      <c r="P151" s="76">
        <f t="shared" si="54"/>
        <v>0</v>
      </c>
      <c r="Q151" s="76">
        <f t="shared" si="54"/>
        <v>0</v>
      </c>
      <c r="R151" s="76">
        <f t="shared" si="54"/>
        <v>0</v>
      </c>
      <c r="S151" s="76">
        <f t="shared" si="54"/>
        <v>0</v>
      </c>
      <c r="T151" s="76">
        <f t="shared" si="54"/>
        <v>0</v>
      </c>
      <c r="U151" s="76">
        <f t="shared" si="54"/>
        <v>0</v>
      </c>
      <c r="V151" s="76">
        <f t="shared" si="54"/>
        <v>0</v>
      </c>
      <c r="W151" s="76">
        <f t="shared" si="54"/>
        <v>0.0006118546845124283</v>
      </c>
      <c r="X151" s="76">
        <f t="shared" si="54"/>
        <v>0.002470907062011797</v>
      </c>
      <c r="Y151" s="76">
        <f t="shared" si="54"/>
        <v>0.005259791029923946</v>
      </c>
      <c r="Z151" s="76">
        <f t="shared" si="54"/>
        <v>0.0067654639175257734</v>
      </c>
      <c r="AA151" s="76">
        <f t="shared" si="54"/>
        <v>0.01095948525772467</v>
      </c>
      <c r="AB151" s="76">
        <f t="shared" si="54"/>
        <v>0.011052815669814621</v>
      </c>
      <c r="AC151" s="76">
        <f t="shared" si="54"/>
        <v>0.011630541499886715</v>
      </c>
      <c r="AD151" s="76">
        <f t="shared" si="54"/>
        <v>0.01270772238514174</v>
      </c>
      <c r="AE151" s="76">
        <f t="shared" si="54"/>
        <v>0.014736374407582938</v>
      </c>
      <c r="AF151" s="76">
        <f t="shared" si="54"/>
        <v>0.013624713341427222</v>
      </c>
      <c r="AG151" s="76">
        <f t="shared" si="54"/>
        <v>0.013674239726515205</v>
      </c>
      <c r="AH151" s="76">
        <f t="shared" si="54"/>
        <v>0.015406162464985995</v>
      </c>
      <c r="AI151" s="76">
        <f t="shared" si="54"/>
        <v>0.01622731062792637</v>
      </c>
    </row>
    <row r="152" spans="2:35" ht="12.75">
      <c r="B152" s="73" t="s">
        <v>18</v>
      </c>
      <c r="C152" s="76">
        <f t="shared" si="35"/>
        <v>0</v>
      </c>
      <c r="D152" s="76">
        <f aca="true" t="shared" si="55" ref="D152:AI152">D85/D$108</f>
        <v>0</v>
      </c>
      <c r="E152" s="76">
        <f t="shared" si="55"/>
        <v>0</v>
      </c>
      <c r="F152" s="76">
        <f t="shared" si="55"/>
        <v>0</v>
      </c>
      <c r="G152" s="76">
        <f t="shared" si="55"/>
        <v>0</v>
      </c>
      <c r="H152" s="76">
        <f t="shared" si="55"/>
        <v>0</v>
      </c>
      <c r="I152" s="76">
        <f t="shared" si="55"/>
        <v>0</v>
      </c>
      <c r="J152" s="76">
        <f t="shared" si="55"/>
        <v>0</v>
      </c>
      <c r="K152" s="76">
        <f t="shared" si="55"/>
        <v>0</v>
      </c>
      <c r="L152" s="76">
        <f t="shared" si="55"/>
        <v>0</v>
      </c>
      <c r="M152" s="76">
        <f t="shared" si="55"/>
        <v>0</v>
      </c>
      <c r="N152" s="76">
        <f t="shared" si="55"/>
        <v>0</v>
      </c>
      <c r="O152" s="76">
        <f t="shared" si="55"/>
        <v>0</v>
      </c>
      <c r="P152" s="76">
        <f t="shared" si="55"/>
        <v>0</v>
      </c>
      <c r="Q152" s="76">
        <f t="shared" si="55"/>
        <v>0</v>
      </c>
      <c r="R152" s="76">
        <f t="shared" si="55"/>
        <v>0</v>
      </c>
      <c r="S152" s="76">
        <f t="shared" si="55"/>
        <v>0</v>
      </c>
      <c r="T152" s="76">
        <f t="shared" si="55"/>
        <v>0</v>
      </c>
      <c r="U152" s="76">
        <f t="shared" si="55"/>
        <v>0</v>
      </c>
      <c r="V152" s="76">
        <f t="shared" si="55"/>
        <v>0</v>
      </c>
      <c r="W152" s="76">
        <f t="shared" si="55"/>
        <v>0</v>
      </c>
      <c r="X152" s="76">
        <f t="shared" si="55"/>
        <v>0.0007970667941973537</v>
      </c>
      <c r="Y152" s="76">
        <f t="shared" si="55"/>
        <v>0.0022745042291563012</v>
      </c>
      <c r="Z152" s="76">
        <f t="shared" si="55"/>
        <v>0.002416237113402062</v>
      </c>
      <c r="AA152" s="76">
        <f t="shared" si="55"/>
        <v>0.00403026232058262</v>
      </c>
      <c r="AB152" s="76">
        <f t="shared" si="55"/>
        <v>0.004197271773347324</v>
      </c>
      <c r="AC152" s="76">
        <f t="shared" si="55"/>
        <v>0.004531379805150669</v>
      </c>
      <c r="AD152" s="76">
        <f t="shared" si="55"/>
        <v>0.004957408183214635</v>
      </c>
      <c r="AE152" s="76">
        <f t="shared" si="55"/>
        <v>0.004887440758293839</v>
      </c>
      <c r="AF152" s="76">
        <f t="shared" si="55"/>
        <v>0.0049912316201268046</v>
      </c>
      <c r="AG152" s="76">
        <f t="shared" si="55"/>
        <v>0.006481019870379603</v>
      </c>
      <c r="AH152" s="76">
        <f t="shared" si="55"/>
        <v>0.0070028011204481795</v>
      </c>
      <c r="AI152" s="76">
        <f t="shared" si="55"/>
        <v>0.006478096337630685</v>
      </c>
    </row>
    <row r="153" spans="2:35" ht="12.75">
      <c r="B153" s="73" t="s">
        <v>19</v>
      </c>
      <c r="C153" s="76">
        <f t="shared" si="35"/>
        <v>0.003965832824893227</v>
      </c>
      <c r="D153" s="76">
        <f aca="true" t="shared" si="56" ref="D153:AI153">D86/D$108</f>
        <v>0.0023519870235198703</v>
      </c>
      <c r="E153" s="76">
        <f t="shared" si="56"/>
        <v>0.003116096866096866</v>
      </c>
      <c r="F153" s="76">
        <f t="shared" si="56"/>
        <v>0.0027472527472527475</v>
      </c>
      <c r="G153" s="76">
        <f t="shared" si="56"/>
        <v>0.0025267927158665157</v>
      </c>
      <c r="H153" s="76">
        <f t="shared" si="56"/>
        <v>0.002357872674875557</v>
      </c>
      <c r="I153" s="76">
        <f t="shared" si="56"/>
        <v>0.0021006638097638853</v>
      </c>
      <c r="J153" s="76">
        <f t="shared" si="56"/>
        <v>0.0026807473598700242</v>
      </c>
      <c r="K153" s="76">
        <f t="shared" si="56"/>
        <v>0.0020127474002012745</v>
      </c>
      <c r="L153" s="76">
        <f t="shared" si="56"/>
        <v>0.0023414985590778097</v>
      </c>
      <c r="M153" s="76">
        <f t="shared" si="56"/>
        <v>0.002698852987480321</v>
      </c>
      <c r="N153" s="76">
        <f t="shared" si="56"/>
        <v>0.002404231447347331</v>
      </c>
      <c r="O153" s="76">
        <f t="shared" si="56"/>
        <v>0.0021148036253776435</v>
      </c>
      <c r="P153" s="76">
        <f t="shared" si="56"/>
        <v>0.0022665103556076594</v>
      </c>
      <c r="Q153" s="76">
        <f t="shared" si="56"/>
        <v>0.0025516503415919005</v>
      </c>
      <c r="R153" s="76">
        <f t="shared" si="56"/>
        <v>0.0026760455692331217</v>
      </c>
      <c r="S153" s="76">
        <f t="shared" si="56"/>
        <v>0.0019986163425320933</v>
      </c>
      <c r="T153" s="76">
        <f t="shared" si="56"/>
        <v>0.0029143037177063644</v>
      </c>
      <c r="U153" s="76">
        <f t="shared" si="56"/>
        <v>0.0023508000303329034</v>
      </c>
      <c r="V153" s="76">
        <f t="shared" si="56"/>
        <v>0.0025196383577886466</v>
      </c>
      <c r="W153" s="76">
        <f t="shared" si="56"/>
        <v>0.002829827915869981</v>
      </c>
      <c r="X153" s="76">
        <f t="shared" si="56"/>
        <v>0.0020723736649131195</v>
      </c>
      <c r="Y153" s="76">
        <f t="shared" si="56"/>
        <v>0.0025588172578008385</v>
      </c>
      <c r="Z153" s="76">
        <f t="shared" si="56"/>
        <v>0.002416237113402062</v>
      </c>
      <c r="AA153" s="76">
        <f t="shared" si="56"/>
        <v>0.002050484338542035</v>
      </c>
      <c r="AB153" s="76">
        <f t="shared" si="56"/>
        <v>0.002658272123119972</v>
      </c>
      <c r="AC153" s="76">
        <f t="shared" si="56"/>
        <v>0.002114643909070312</v>
      </c>
      <c r="AD153" s="76">
        <f t="shared" si="56"/>
        <v>0.0024437927663734115</v>
      </c>
      <c r="AE153" s="76">
        <f t="shared" si="56"/>
        <v>0.002221563981042654</v>
      </c>
      <c r="AF153" s="76">
        <f t="shared" si="56"/>
        <v>0.0024281667341157424</v>
      </c>
      <c r="AG153" s="76">
        <f t="shared" si="56"/>
        <v>0.002635139947297201</v>
      </c>
      <c r="AH153" s="76">
        <f t="shared" si="56"/>
        <v>0.0024325519681556835</v>
      </c>
      <c r="AI153" s="76">
        <f t="shared" si="56"/>
        <v>0.002565582707972548</v>
      </c>
    </row>
    <row r="154" spans="2:35" ht="12.75">
      <c r="B154" s="73" t="s">
        <v>20</v>
      </c>
      <c r="C154" s="76">
        <f t="shared" si="35"/>
        <v>0.016778523489932886</v>
      </c>
      <c r="D154" s="76">
        <f aca="true" t="shared" si="57" ref="D154:AI154">D87/D$108</f>
        <v>0.017842660178426603</v>
      </c>
      <c r="E154" s="76">
        <f t="shared" si="57"/>
        <v>0.020032051282051284</v>
      </c>
      <c r="F154" s="76">
        <f t="shared" si="57"/>
        <v>0.016660758596242466</v>
      </c>
      <c r="G154" s="76">
        <f t="shared" si="57"/>
        <v>0.017861810577677092</v>
      </c>
      <c r="H154" s="76">
        <f t="shared" si="57"/>
        <v>0.014321893284429307</v>
      </c>
      <c r="I154" s="76">
        <f t="shared" si="57"/>
        <v>0.017729602554407194</v>
      </c>
      <c r="J154" s="76">
        <f t="shared" si="57"/>
        <v>0.016978066612510154</v>
      </c>
      <c r="K154" s="76">
        <f t="shared" si="57"/>
        <v>0.016605166051660517</v>
      </c>
      <c r="L154" s="76">
        <f t="shared" si="57"/>
        <v>0.017651296829971182</v>
      </c>
      <c r="M154" s="76">
        <f t="shared" si="57"/>
        <v>0.015818277232176325</v>
      </c>
      <c r="N154" s="76">
        <f t="shared" si="57"/>
        <v>0.014906234973553454</v>
      </c>
      <c r="O154" s="76">
        <f t="shared" si="57"/>
        <v>0.015332326283987915</v>
      </c>
      <c r="P154" s="76">
        <f t="shared" si="57"/>
        <v>0.014615084017194217</v>
      </c>
      <c r="Q154" s="76">
        <f t="shared" si="57"/>
        <v>0.015392213350893077</v>
      </c>
      <c r="R154" s="76">
        <f t="shared" si="57"/>
        <v>0.015138772077375946</v>
      </c>
      <c r="S154" s="76">
        <f t="shared" si="57"/>
        <v>0.014759012991006227</v>
      </c>
      <c r="T154" s="76">
        <f t="shared" si="57"/>
        <v>0.01543793320730939</v>
      </c>
      <c r="U154" s="76">
        <f t="shared" si="57"/>
        <v>0.016228103435201334</v>
      </c>
      <c r="V154" s="76">
        <f t="shared" si="57"/>
        <v>0.015043723136208685</v>
      </c>
      <c r="W154" s="76">
        <f t="shared" si="57"/>
        <v>0.01560229445506692</v>
      </c>
      <c r="X154" s="76">
        <f t="shared" si="57"/>
        <v>0.014506615654391838</v>
      </c>
      <c r="Y154" s="76">
        <f t="shared" si="57"/>
        <v>0.01499751226099936</v>
      </c>
      <c r="Z154" s="76">
        <f t="shared" si="57"/>
        <v>0.013128221649484536</v>
      </c>
      <c r="AA154" s="76">
        <f t="shared" si="57"/>
        <v>0.013504914091776852</v>
      </c>
      <c r="AB154" s="76">
        <f t="shared" si="57"/>
        <v>0.012941587967820916</v>
      </c>
      <c r="AC154" s="76">
        <f t="shared" si="57"/>
        <v>0.013594139415452004</v>
      </c>
      <c r="AD154" s="76">
        <f t="shared" si="57"/>
        <v>0.012637899734673929</v>
      </c>
      <c r="AE154" s="76">
        <f t="shared" si="57"/>
        <v>0.01273696682464455</v>
      </c>
      <c r="AF154" s="76">
        <f t="shared" si="57"/>
        <v>0.01261297720221233</v>
      </c>
      <c r="AG154" s="76">
        <f t="shared" si="57"/>
        <v>0.012178619756427604</v>
      </c>
      <c r="AH154" s="76">
        <f t="shared" si="57"/>
        <v>0.011057054400707651</v>
      </c>
      <c r="AI154" s="76">
        <f t="shared" si="57"/>
        <v>0.01173754088897441</v>
      </c>
    </row>
    <row r="155" spans="2:35" ht="12.75">
      <c r="B155" s="73" t="s">
        <v>21</v>
      </c>
      <c r="C155" s="76">
        <f t="shared" si="35"/>
        <v>0.006711409395973154</v>
      </c>
      <c r="D155" s="76">
        <f aca="true" t="shared" si="58" ref="D155:AI155">D88/D$108</f>
        <v>0.0072992700729927005</v>
      </c>
      <c r="E155" s="76">
        <f t="shared" si="58"/>
        <v>0.007745726495726496</v>
      </c>
      <c r="F155" s="76">
        <f t="shared" si="58"/>
        <v>0.006823821339950372</v>
      </c>
      <c r="G155" s="76">
        <f t="shared" si="58"/>
        <v>0.006970462664459353</v>
      </c>
      <c r="H155" s="76">
        <f t="shared" si="58"/>
        <v>0.00707361802462667</v>
      </c>
      <c r="I155" s="76">
        <f t="shared" si="58"/>
        <v>0.006890177296025544</v>
      </c>
      <c r="J155" s="76">
        <f t="shared" si="58"/>
        <v>0.006580016246953696</v>
      </c>
      <c r="K155" s="76">
        <f t="shared" si="58"/>
        <v>0.006457564575645757</v>
      </c>
      <c r="L155" s="76">
        <f t="shared" si="58"/>
        <v>0.007384726224783862</v>
      </c>
      <c r="M155" s="76">
        <f t="shared" si="58"/>
        <v>0.007271909438488642</v>
      </c>
      <c r="N155" s="76">
        <f t="shared" si="58"/>
        <v>0.0064914249078377945</v>
      </c>
      <c r="O155" s="76">
        <f t="shared" si="58"/>
        <v>0.007099697885196375</v>
      </c>
      <c r="P155" s="76">
        <f t="shared" si="58"/>
        <v>0.007346619773348964</v>
      </c>
      <c r="Q155" s="76">
        <f t="shared" si="58"/>
        <v>0.005926413696600543</v>
      </c>
      <c r="R155" s="76">
        <f t="shared" si="58"/>
        <v>0.006346050921324261</v>
      </c>
      <c r="S155" s="76">
        <f t="shared" si="58"/>
        <v>0.007302636636174956</v>
      </c>
      <c r="T155" s="76">
        <f t="shared" si="58"/>
        <v>0.006852551984877127</v>
      </c>
      <c r="U155" s="76">
        <f t="shared" si="58"/>
        <v>0.006673238795783726</v>
      </c>
      <c r="V155" s="76">
        <f t="shared" si="58"/>
        <v>0.00755891507336594</v>
      </c>
      <c r="W155" s="76">
        <f t="shared" si="58"/>
        <v>0.00803059273422562</v>
      </c>
      <c r="X155" s="76">
        <f t="shared" si="58"/>
        <v>0.006934481109516977</v>
      </c>
      <c r="Y155" s="76">
        <f t="shared" si="58"/>
        <v>0.0067524344303077685</v>
      </c>
      <c r="Z155" s="76">
        <f t="shared" si="58"/>
        <v>0.0067654639175257734</v>
      </c>
      <c r="AA155" s="76">
        <f t="shared" si="58"/>
        <v>0.0063635720851304535</v>
      </c>
      <c r="AB155" s="76">
        <f t="shared" si="58"/>
        <v>0.006225953130465198</v>
      </c>
      <c r="AC155" s="76">
        <f t="shared" si="58"/>
        <v>0.007174684691488558</v>
      </c>
      <c r="AD155" s="76">
        <f t="shared" si="58"/>
        <v>0.006842619745845552</v>
      </c>
      <c r="AE155" s="76">
        <f t="shared" si="58"/>
        <v>0.006294431279620853</v>
      </c>
      <c r="AF155" s="76">
        <f t="shared" si="58"/>
        <v>0.007217051126399568</v>
      </c>
      <c r="AG155" s="76">
        <f t="shared" si="58"/>
        <v>0.005412719891745603</v>
      </c>
      <c r="AH155" s="76">
        <f t="shared" si="58"/>
        <v>0.007371369600471768</v>
      </c>
      <c r="AI155" s="76">
        <f t="shared" si="58"/>
        <v>0.005900840228336861</v>
      </c>
    </row>
    <row r="156" spans="2:35" ht="12.75">
      <c r="B156" s="73" t="s">
        <v>22</v>
      </c>
      <c r="C156" s="76">
        <f t="shared" si="35"/>
        <v>0.003559080740288794</v>
      </c>
      <c r="D156" s="76">
        <f aca="true" t="shared" si="59" ref="D156:AI156">D89/D$108</f>
        <v>0.0035685320356853203</v>
      </c>
      <c r="E156" s="76">
        <f t="shared" si="59"/>
        <v>0.003205128205128205</v>
      </c>
      <c r="F156" s="76">
        <f t="shared" si="59"/>
        <v>0.002924494859978731</v>
      </c>
      <c r="G156" s="76">
        <f t="shared" si="59"/>
        <v>0.0029624466323952253</v>
      </c>
      <c r="H156" s="76">
        <f t="shared" si="59"/>
        <v>0.0024452012924635405</v>
      </c>
      <c r="I156" s="76">
        <f t="shared" si="59"/>
        <v>0.002436770019326107</v>
      </c>
      <c r="J156" s="76">
        <f t="shared" si="59"/>
        <v>0.0021933387489845653</v>
      </c>
      <c r="K156" s="76">
        <f t="shared" si="59"/>
        <v>0.0028513921502851393</v>
      </c>
      <c r="L156" s="76">
        <f t="shared" si="59"/>
        <v>0.0022514409221902018</v>
      </c>
      <c r="M156" s="76">
        <f t="shared" si="59"/>
        <v>0.0024739485718569608</v>
      </c>
      <c r="N156" s="76">
        <f t="shared" si="59"/>
        <v>0.0024843724955922425</v>
      </c>
      <c r="O156" s="76">
        <f t="shared" si="59"/>
        <v>0.0022658610271903325</v>
      </c>
      <c r="P156" s="76">
        <f t="shared" si="59"/>
        <v>0.002032043767096522</v>
      </c>
      <c r="Q156" s="76">
        <f t="shared" si="59"/>
        <v>0.0021400938348835295</v>
      </c>
      <c r="R156" s="76">
        <f t="shared" si="59"/>
        <v>0.0021408364553864973</v>
      </c>
      <c r="S156" s="76">
        <f t="shared" si="59"/>
        <v>0.0019217464832039356</v>
      </c>
      <c r="T156" s="76">
        <f t="shared" si="59"/>
        <v>0.0024417139256458728</v>
      </c>
      <c r="U156" s="76">
        <f t="shared" si="59"/>
        <v>0.00219913551224691</v>
      </c>
      <c r="V156" s="76">
        <f t="shared" si="59"/>
        <v>0.002445531347265451</v>
      </c>
      <c r="W156" s="76">
        <f t="shared" si="59"/>
        <v>0.0023709369024856597</v>
      </c>
      <c r="X156" s="76">
        <f t="shared" si="59"/>
        <v>0.002152080344332855</v>
      </c>
      <c r="Y156" s="76">
        <f t="shared" si="59"/>
        <v>0.002061269457672898</v>
      </c>
      <c r="Z156" s="76">
        <f t="shared" si="59"/>
        <v>0.0015302835051546392</v>
      </c>
      <c r="AA156" s="76">
        <f t="shared" si="59"/>
        <v>0.0019797779820405854</v>
      </c>
      <c r="AB156" s="76">
        <f t="shared" si="59"/>
        <v>0.0017488632388947185</v>
      </c>
      <c r="AC156" s="76">
        <f t="shared" si="59"/>
        <v>0.002114643909070312</v>
      </c>
      <c r="AD156" s="76">
        <f t="shared" si="59"/>
        <v>0.0020946795140343527</v>
      </c>
      <c r="AE156" s="76">
        <f t="shared" si="59"/>
        <v>0.0017772511848341231</v>
      </c>
      <c r="AF156" s="76">
        <f t="shared" si="59"/>
        <v>0.0021583704303251047</v>
      </c>
      <c r="AG156" s="76">
        <f t="shared" si="59"/>
        <v>0.002350259952994801</v>
      </c>
      <c r="AH156" s="76">
        <f t="shared" si="59"/>
        <v>0.0025799793601651187</v>
      </c>
      <c r="AI156" s="76">
        <f t="shared" si="59"/>
        <v>0.0019241870309794113</v>
      </c>
    </row>
    <row r="157" spans="2:35" ht="12.75">
      <c r="B157" s="73" t="s">
        <v>23</v>
      </c>
      <c r="C157" s="76">
        <f t="shared" si="35"/>
        <v>0</v>
      </c>
      <c r="D157" s="76">
        <f aca="true" t="shared" si="60" ref="D157:AI157">D90/D$108</f>
        <v>0</v>
      </c>
      <c r="E157" s="76">
        <f t="shared" si="60"/>
        <v>0</v>
      </c>
      <c r="F157" s="76">
        <f t="shared" si="60"/>
        <v>0</v>
      </c>
      <c r="G157" s="76">
        <f t="shared" si="60"/>
        <v>0</v>
      </c>
      <c r="H157" s="76">
        <f t="shared" si="60"/>
        <v>0</v>
      </c>
      <c r="I157" s="76">
        <f t="shared" si="60"/>
        <v>0</v>
      </c>
      <c r="J157" s="76">
        <f t="shared" si="60"/>
        <v>0</v>
      </c>
      <c r="K157" s="76">
        <f t="shared" si="60"/>
        <v>0</v>
      </c>
      <c r="L157" s="76">
        <f t="shared" si="60"/>
        <v>0</v>
      </c>
      <c r="M157" s="76">
        <f t="shared" si="60"/>
        <v>0</v>
      </c>
      <c r="N157" s="76">
        <f t="shared" si="60"/>
        <v>0</v>
      </c>
      <c r="O157" s="76">
        <f t="shared" si="60"/>
        <v>0</v>
      </c>
      <c r="P157" s="76">
        <f t="shared" si="60"/>
        <v>0</v>
      </c>
      <c r="Q157" s="76">
        <f t="shared" si="60"/>
        <v>0</v>
      </c>
      <c r="R157" s="76">
        <f t="shared" si="60"/>
        <v>0</v>
      </c>
      <c r="S157" s="76">
        <f t="shared" si="60"/>
        <v>0</v>
      </c>
      <c r="T157" s="76">
        <f t="shared" si="60"/>
        <v>0</v>
      </c>
      <c r="U157" s="76">
        <f t="shared" si="60"/>
        <v>0</v>
      </c>
      <c r="V157" s="76">
        <f t="shared" si="60"/>
        <v>0</v>
      </c>
      <c r="W157" s="76">
        <f t="shared" si="60"/>
        <v>0</v>
      </c>
      <c r="X157" s="76">
        <f t="shared" si="60"/>
        <v>0</v>
      </c>
      <c r="Y157" s="76">
        <f t="shared" si="60"/>
        <v>0.007036747458952306</v>
      </c>
      <c r="Z157" s="76">
        <f t="shared" si="60"/>
        <v>0.019732603092783504</v>
      </c>
      <c r="AA157" s="76">
        <f t="shared" si="60"/>
        <v>0.030333026939121828</v>
      </c>
      <c r="AB157" s="76">
        <f t="shared" si="60"/>
        <v>0.041133263378803776</v>
      </c>
      <c r="AC157" s="76">
        <f t="shared" si="60"/>
        <v>0.04916547088588475</v>
      </c>
      <c r="AD157" s="76">
        <f t="shared" si="60"/>
        <v>0.051040357491970396</v>
      </c>
      <c r="AE157" s="76">
        <f t="shared" si="60"/>
        <v>0.055316943127962086</v>
      </c>
      <c r="AF157" s="76">
        <f t="shared" si="60"/>
        <v>0.05611763118845272</v>
      </c>
      <c r="AG157" s="76">
        <f t="shared" si="60"/>
        <v>0.06003845879923082</v>
      </c>
      <c r="AH157" s="76">
        <f t="shared" si="60"/>
        <v>0.05933952528379773</v>
      </c>
      <c r="AI157" s="76">
        <f t="shared" si="60"/>
        <v>0.06163812455904047</v>
      </c>
    </row>
    <row r="158" spans="2:35" ht="12.75">
      <c r="B158" s="73" t="s">
        <v>24</v>
      </c>
      <c r="C158" s="76">
        <f t="shared" si="35"/>
        <v>0.12527964205816555</v>
      </c>
      <c r="D158" s="76">
        <f aca="true" t="shared" si="61" ref="D158:AI158">D91/D$108</f>
        <v>0.12311435523114356</v>
      </c>
      <c r="E158" s="76">
        <f t="shared" si="61"/>
        <v>0.12740384615384615</v>
      </c>
      <c r="F158" s="76">
        <f t="shared" si="61"/>
        <v>0.12132222616093584</v>
      </c>
      <c r="G158" s="76">
        <f t="shared" si="61"/>
        <v>0.12259301211117887</v>
      </c>
      <c r="H158" s="76">
        <f t="shared" si="61"/>
        <v>0.12147410706488516</v>
      </c>
      <c r="I158" s="76">
        <f t="shared" si="61"/>
        <v>0.1255356692714898</v>
      </c>
      <c r="J158" s="76">
        <f t="shared" si="61"/>
        <v>0.12761982128350935</v>
      </c>
      <c r="K158" s="76">
        <f t="shared" si="61"/>
        <v>0.1262160348876216</v>
      </c>
      <c r="L158" s="76">
        <f t="shared" si="61"/>
        <v>0.12932276657060518</v>
      </c>
      <c r="M158" s="76">
        <f t="shared" si="61"/>
        <v>0.12377239673138916</v>
      </c>
      <c r="N158" s="76">
        <f t="shared" si="61"/>
        <v>0.12542074050328578</v>
      </c>
      <c r="O158" s="76">
        <f t="shared" si="61"/>
        <v>0.12212990936555891</v>
      </c>
      <c r="P158" s="76">
        <f t="shared" si="61"/>
        <v>0.1254396248534584</v>
      </c>
      <c r="Q158" s="76">
        <f t="shared" si="61"/>
        <v>0.12461931023129476</v>
      </c>
      <c r="R158" s="76">
        <f t="shared" si="61"/>
        <v>0.1260035170884624</v>
      </c>
      <c r="S158" s="76">
        <f t="shared" si="61"/>
        <v>0.12237681605042663</v>
      </c>
      <c r="T158" s="76">
        <f t="shared" si="61"/>
        <v>0.12413358538122243</v>
      </c>
      <c r="U158" s="76">
        <f t="shared" si="61"/>
        <v>0.12299992416774096</v>
      </c>
      <c r="V158" s="76">
        <f t="shared" si="61"/>
        <v>0.12368460056321327</v>
      </c>
      <c r="W158" s="76">
        <f t="shared" si="61"/>
        <v>0.12091778202676864</v>
      </c>
      <c r="X158" s="76">
        <f t="shared" si="61"/>
        <v>0.12091503267973856</v>
      </c>
      <c r="Y158" s="76">
        <f t="shared" si="61"/>
        <v>0.11457815054374866</v>
      </c>
      <c r="Z158" s="76">
        <f t="shared" si="61"/>
        <v>0.10115979381443299</v>
      </c>
      <c r="AA158" s="76">
        <f t="shared" si="61"/>
        <v>0.08696881849678285</v>
      </c>
      <c r="AB158" s="76">
        <f t="shared" si="61"/>
        <v>0.08219657222805177</v>
      </c>
      <c r="AC158" s="76">
        <f t="shared" si="61"/>
        <v>0.07559851974926365</v>
      </c>
      <c r="AD158" s="76">
        <f t="shared" si="61"/>
        <v>0.07352325094260578</v>
      </c>
      <c r="AE158" s="76">
        <f t="shared" si="61"/>
        <v>0.06723933649289099</v>
      </c>
      <c r="AF158" s="76">
        <f t="shared" si="61"/>
        <v>0.06825846485903143</v>
      </c>
      <c r="AG158" s="76">
        <f t="shared" si="61"/>
        <v>0.06409799871804002</v>
      </c>
      <c r="AH158" s="76">
        <f t="shared" si="61"/>
        <v>0.0646469113961374</v>
      </c>
      <c r="AI158" s="76">
        <f t="shared" si="61"/>
        <v>0.06285677634532744</v>
      </c>
    </row>
    <row r="159" spans="2:35" ht="12.75">
      <c r="B159" s="73" t="s">
        <v>25</v>
      </c>
      <c r="C159" s="76">
        <f t="shared" si="35"/>
        <v>0.07524913565182022</v>
      </c>
      <c r="D159" s="76">
        <f aca="true" t="shared" si="62" ref="D159:AI159">D92/D$108</f>
        <v>0.07347931873479319</v>
      </c>
      <c r="E159" s="76">
        <f t="shared" si="62"/>
        <v>0.07558760683760683</v>
      </c>
      <c r="F159" s="76">
        <f t="shared" si="62"/>
        <v>0.07222616093583835</v>
      </c>
      <c r="G159" s="76">
        <f t="shared" si="62"/>
        <v>0.07188289622723708</v>
      </c>
      <c r="H159" s="76">
        <f t="shared" si="62"/>
        <v>0.07187145227491049</v>
      </c>
      <c r="I159" s="76">
        <f t="shared" si="62"/>
        <v>0.070498277455676</v>
      </c>
      <c r="J159" s="76">
        <f t="shared" si="62"/>
        <v>0.07026807473598701</v>
      </c>
      <c r="K159" s="76">
        <f t="shared" si="62"/>
        <v>0.06734317343173432</v>
      </c>
      <c r="L159" s="76">
        <f t="shared" si="62"/>
        <v>0.06637247838616715</v>
      </c>
      <c r="M159" s="76">
        <f t="shared" si="62"/>
        <v>0.06372291775995202</v>
      </c>
      <c r="N159" s="76">
        <f t="shared" si="62"/>
        <v>0.06555537746433723</v>
      </c>
      <c r="O159" s="76">
        <f t="shared" si="62"/>
        <v>0.06442598187311178</v>
      </c>
      <c r="P159" s="76">
        <f t="shared" si="62"/>
        <v>0.0618210238374365</v>
      </c>
      <c r="Q159" s="76">
        <f t="shared" si="62"/>
        <v>0.06313276812906413</v>
      </c>
      <c r="R159" s="76">
        <f t="shared" si="62"/>
        <v>0.06093738053367995</v>
      </c>
      <c r="S159" s="76">
        <f t="shared" si="62"/>
        <v>0.061034668306557</v>
      </c>
      <c r="T159" s="76">
        <f t="shared" si="62"/>
        <v>0.0593887838689351</v>
      </c>
      <c r="U159" s="76">
        <f t="shared" si="62"/>
        <v>0.06210662015621445</v>
      </c>
      <c r="V159" s="76">
        <f t="shared" si="62"/>
        <v>0.05935971542907959</v>
      </c>
      <c r="W159" s="76">
        <f t="shared" si="62"/>
        <v>0.05980879541108987</v>
      </c>
      <c r="X159" s="76">
        <f t="shared" si="62"/>
        <v>0.05954088952654232</v>
      </c>
      <c r="Y159" s="76">
        <f t="shared" si="62"/>
        <v>0.057502310043357735</v>
      </c>
      <c r="Z159" s="76">
        <f t="shared" si="62"/>
        <v>0.05678157216494845</v>
      </c>
      <c r="AA159" s="76">
        <f t="shared" si="62"/>
        <v>0.053312592802092905</v>
      </c>
      <c r="AB159" s="76">
        <f t="shared" si="62"/>
        <v>0.05190626093039524</v>
      </c>
      <c r="AC159" s="76">
        <f t="shared" si="62"/>
        <v>0.050902499811192506</v>
      </c>
      <c r="AD159" s="76">
        <f t="shared" si="62"/>
        <v>0.04824745147325792</v>
      </c>
      <c r="AE159" s="76">
        <f t="shared" si="62"/>
        <v>0.04731931279620853</v>
      </c>
      <c r="AF159" s="76">
        <f t="shared" si="62"/>
        <v>0.04788884392283826</v>
      </c>
      <c r="AG159" s="76">
        <f t="shared" si="62"/>
        <v>0.04629299907414002</v>
      </c>
      <c r="AH159" s="76">
        <f t="shared" si="62"/>
        <v>0.04651334217897685</v>
      </c>
      <c r="AI159" s="76">
        <f t="shared" si="62"/>
        <v>0.04650118658200244</v>
      </c>
    </row>
    <row r="160" spans="2:35" ht="12.75">
      <c r="B160" s="73" t="s">
        <v>26</v>
      </c>
      <c r="C160" s="76">
        <f t="shared" si="35"/>
        <v>0.0327435428106569</v>
      </c>
      <c r="D160" s="76">
        <f aca="true" t="shared" si="63" ref="D160:AI160">D93/D$108</f>
        <v>0.030900243309002432</v>
      </c>
      <c r="E160" s="76">
        <f t="shared" si="63"/>
        <v>0.03107193732193732</v>
      </c>
      <c r="F160" s="76">
        <f t="shared" si="63"/>
        <v>0.03119461183977313</v>
      </c>
      <c r="G160" s="76">
        <f t="shared" si="63"/>
        <v>0.03154134355667858</v>
      </c>
      <c r="H160" s="76">
        <f t="shared" si="63"/>
        <v>0.03213693127237796</v>
      </c>
      <c r="I160" s="76">
        <f t="shared" si="63"/>
        <v>0.030165532308209394</v>
      </c>
      <c r="J160" s="76">
        <f t="shared" si="63"/>
        <v>0.029569455727051178</v>
      </c>
      <c r="K160" s="76">
        <f t="shared" si="63"/>
        <v>0.028346192552834618</v>
      </c>
      <c r="L160" s="76">
        <f t="shared" si="63"/>
        <v>0.028998559077809797</v>
      </c>
      <c r="M160" s="76">
        <f t="shared" si="63"/>
        <v>0.02856286078416673</v>
      </c>
      <c r="N160" s="76">
        <f t="shared" si="63"/>
        <v>0.02780894374098413</v>
      </c>
      <c r="O160" s="76">
        <f t="shared" si="63"/>
        <v>0.026737160120845923</v>
      </c>
      <c r="P160" s="76">
        <f t="shared" si="63"/>
        <v>0.027979679562329034</v>
      </c>
      <c r="Q160" s="76">
        <f t="shared" si="63"/>
        <v>0.027080418141410816</v>
      </c>
      <c r="R160" s="76">
        <f t="shared" si="63"/>
        <v>0.025995871243978896</v>
      </c>
      <c r="S160" s="76">
        <f t="shared" si="63"/>
        <v>0.02598201245291721</v>
      </c>
      <c r="T160" s="76">
        <f t="shared" si="63"/>
        <v>0.026543793320730938</v>
      </c>
      <c r="U160" s="76">
        <f t="shared" si="63"/>
        <v>0.02631379388791992</v>
      </c>
      <c r="V160" s="76">
        <f t="shared" si="63"/>
        <v>0.025418704609456055</v>
      </c>
      <c r="W160" s="76">
        <f t="shared" si="63"/>
        <v>0.027151051625239005</v>
      </c>
      <c r="X160" s="76">
        <f t="shared" si="63"/>
        <v>0.023194643711142993</v>
      </c>
      <c r="Y160" s="76">
        <f t="shared" si="63"/>
        <v>0.02530385954936385</v>
      </c>
      <c r="Z160" s="76">
        <f t="shared" si="63"/>
        <v>0.022873711340206184</v>
      </c>
      <c r="AA160" s="76">
        <f t="shared" si="63"/>
        <v>0.023403804001979778</v>
      </c>
      <c r="AB160" s="76">
        <f t="shared" si="63"/>
        <v>0.023924449108079747</v>
      </c>
      <c r="AC160" s="76">
        <f t="shared" si="63"/>
        <v>0.023034514009515897</v>
      </c>
      <c r="AD160" s="76">
        <f t="shared" si="63"/>
        <v>0.02269236140203882</v>
      </c>
      <c r="AE160" s="76">
        <f t="shared" si="63"/>
        <v>0.02177132701421801</v>
      </c>
      <c r="AF160" s="76">
        <f t="shared" si="63"/>
        <v>0.02225819506272764</v>
      </c>
      <c r="AG160" s="76">
        <f t="shared" si="63"/>
        <v>0.02079623958407521</v>
      </c>
      <c r="AH160" s="76">
        <f t="shared" si="63"/>
        <v>0.02189296771340115</v>
      </c>
      <c r="AI160" s="76">
        <f t="shared" si="63"/>
        <v>0.02078121993457764</v>
      </c>
    </row>
    <row r="161" spans="2:35" ht="12.75">
      <c r="B161" s="73" t="s">
        <v>108</v>
      </c>
      <c r="C161" s="76">
        <f t="shared" si="35"/>
        <v>0</v>
      </c>
      <c r="D161" s="76">
        <f aca="true" t="shared" si="64" ref="D161:AI161">D94/D$108</f>
        <v>0</v>
      </c>
      <c r="E161" s="76">
        <f t="shared" si="64"/>
        <v>0</v>
      </c>
      <c r="F161" s="76">
        <f t="shared" si="64"/>
        <v>0</v>
      </c>
      <c r="G161" s="76">
        <f t="shared" si="64"/>
        <v>0</v>
      </c>
      <c r="H161" s="76">
        <f t="shared" si="64"/>
        <v>0</v>
      </c>
      <c r="I161" s="76">
        <f t="shared" si="64"/>
        <v>0</v>
      </c>
      <c r="J161" s="76">
        <f t="shared" si="64"/>
        <v>0</v>
      </c>
      <c r="K161" s="76">
        <f t="shared" si="64"/>
        <v>0</v>
      </c>
      <c r="L161" s="76">
        <f t="shared" si="64"/>
        <v>0</v>
      </c>
      <c r="M161" s="76">
        <f t="shared" si="64"/>
        <v>0</v>
      </c>
      <c r="N161" s="76">
        <f t="shared" si="64"/>
        <v>0</v>
      </c>
      <c r="O161" s="76">
        <f t="shared" si="64"/>
        <v>0</v>
      </c>
      <c r="P161" s="76">
        <f t="shared" si="64"/>
        <v>0</v>
      </c>
      <c r="Q161" s="76">
        <f t="shared" si="64"/>
        <v>0</v>
      </c>
      <c r="R161" s="76">
        <f t="shared" si="64"/>
        <v>0</v>
      </c>
      <c r="S161" s="76">
        <f t="shared" si="64"/>
        <v>0</v>
      </c>
      <c r="T161" s="76">
        <f t="shared" si="64"/>
        <v>0</v>
      </c>
      <c r="U161" s="76">
        <f t="shared" si="64"/>
        <v>0</v>
      </c>
      <c r="V161" s="76">
        <f t="shared" si="64"/>
        <v>0</v>
      </c>
      <c r="W161" s="76">
        <f t="shared" si="64"/>
        <v>0</v>
      </c>
      <c r="X161" s="76">
        <f t="shared" si="64"/>
        <v>0</v>
      </c>
      <c r="Y161" s="76">
        <f t="shared" si="64"/>
        <v>0</v>
      </c>
      <c r="Z161" s="76">
        <f t="shared" si="64"/>
        <v>0</v>
      </c>
      <c r="AA161" s="76">
        <f t="shared" si="64"/>
        <v>0</v>
      </c>
      <c r="AB161" s="76">
        <f t="shared" si="64"/>
        <v>0</v>
      </c>
      <c r="AC161" s="76">
        <f t="shared" si="64"/>
        <v>0</v>
      </c>
      <c r="AD161" s="76">
        <f t="shared" si="64"/>
        <v>0</v>
      </c>
      <c r="AE161" s="76">
        <f t="shared" si="64"/>
        <v>0</v>
      </c>
      <c r="AF161" s="76">
        <f t="shared" si="64"/>
        <v>0</v>
      </c>
      <c r="AG161" s="76">
        <f t="shared" si="64"/>
        <v>0</v>
      </c>
      <c r="AH161" s="76">
        <f t="shared" si="64"/>
        <v>0</v>
      </c>
      <c r="AI161" s="76">
        <f t="shared" si="64"/>
        <v>0.00012827913539862742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2007-02-24T15:41:57Z</cp:lastPrinted>
  <dcterms:created xsi:type="dcterms:W3CDTF">2006-06-24T15:38:30Z</dcterms:created>
  <dcterms:modified xsi:type="dcterms:W3CDTF">2011-04-03T19:42:03Z</dcterms:modified>
  <cp:category/>
  <cp:version/>
  <cp:contentType/>
  <cp:contentStatus/>
</cp:coreProperties>
</file>